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VR-FS01.xelcmht.nhs.uk\K_SharedDepts\Information Governance Assurance\Freedom of Information\FOI Requests\FOI Requests 2023 - 24\FOI DA4927\"/>
    </mc:Choice>
  </mc:AlternateContent>
  <xr:revisionPtr revIDLastSave="0" documentId="13_ncr:1_{6A327533-9771-4062-979C-203AD42F88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4927 A" sheetId="3" r:id="rId1"/>
    <sheet name="DA4927 B&amp;C" sheetId="1" r:id="rId2"/>
  </sheets>
  <externalReferences>
    <externalReference r:id="rId3"/>
  </externalReferences>
  <definedNames>
    <definedName name="Framework">[1]Lookups!$G$8:$G$9</definedName>
    <definedName name="Grade_AFC">[1]Lookups!$E$1:$E$12</definedName>
    <definedName name="Grade_Medical">[1]Lookups!$E$13:$E$19</definedName>
    <definedName name="Location">[1]Lookups!$C$11:$C$16</definedName>
    <definedName name="Shift_AFC">[1]Lookups!$G$1:$G$3</definedName>
    <definedName name="Shift_Medical">[1]Lookups!$G$4:$G$5</definedName>
    <definedName name="Specialty">[1]Lookups!$F$1:$F$83</definedName>
    <definedName name="Staff_Type">[1]Lookups!$C$1:$C$6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95" i="3" l="1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C202" i="3"/>
  <c r="AV309" i="3"/>
  <c r="AV310" i="3"/>
  <c r="AV311" i="3"/>
  <c r="AV312" i="3"/>
  <c r="AV313" i="3"/>
  <c r="AV314" i="3"/>
  <c r="AV315" i="3"/>
  <c r="AV316" i="3"/>
  <c r="AV317" i="3"/>
  <c r="AV318" i="3"/>
  <c r="AV319" i="3"/>
  <c r="AV320" i="3"/>
  <c r="AV321" i="3"/>
  <c r="AV322" i="3"/>
  <c r="AV323" i="3"/>
  <c r="AV324" i="3"/>
  <c r="AV325" i="3"/>
  <c r="AV326" i="3"/>
  <c r="AV327" i="3"/>
  <c r="AV308" i="3"/>
  <c r="AV328" i="3" s="1"/>
  <c r="AV345" i="3" s="1"/>
  <c r="AV305" i="3"/>
  <c r="AV344" i="3" s="1"/>
  <c r="AV279" i="3"/>
  <c r="AV280" i="3"/>
  <c r="AV281" i="3"/>
  <c r="AV282" i="3"/>
  <c r="AV283" i="3"/>
  <c r="AV284" i="3"/>
  <c r="AV285" i="3"/>
  <c r="AV286" i="3"/>
  <c r="AV287" i="3"/>
  <c r="AV288" i="3"/>
  <c r="AV289" i="3"/>
  <c r="AV290" i="3"/>
  <c r="AV291" i="3"/>
  <c r="AV292" i="3"/>
  <c r="AV293" i="3"/>
  <c r="AV294" i="3"/>
  <c r="AV295" i="3"/>
  <c r="AV296" i="3"/>
  <c r="AV297" i="3"/>
  <c r="AV298" i="3"/>
  <c r="AV299" i="3"/>
  <c r="AV300" i="3"/>
  <c r="AV301" i="3"/>
  <c r="AV302" i="3"/>
  <c r="AV303" i="3"/>
  <c r="AV304" i="3"/>
  <c r="AV278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V343" i="3" s="1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C275" i="3"/>
  <c r="AV252" i="3"/>
  <c r="AV253" i="3"/>
  <c r="AV254" i="3"/>
  <c r="AV255" i="3"/>
  <c r="AV256" i="3"/>
  <c r="AV257" i="3"/>
  <c r="AV258" i="3"/>
  <c r="AV259" i="3"/>
  <c r="AV260" i="3"/>
  <c r="AV261" i="3"/>
  <c r="AV262" i="3"/>
  <c r="AV263" i="3"/>
  <c r="AV264" i="3"/>
  <c r="AV265" i="3"/>
  <c r="AV266" i="3"/>
  <c r="AV267" i="3"/>
  <c r="AV268" i="3"/>
  <c r="AV269" i="3"/>
  <c r="AV270" i="3"/>
  <c r="AV271" i="3"/>
  <c r="AV272" i="3"/>
  <c r="AV273" i="3"/>
  <c r="AV274" i="3"/>
  <c r="AV251" i="3"/>
  <c r="AV221" i="3"/>
  <c r="AV222" i="3"/>
  <c r="AV223" i="3"/>
  <c r="AV248" i="3" s="1"/>
  <c r="AV342" i="3" s="1"/>
  <c r="AV224" i="3"/>
  <c r="AV225" i="3"/>
  <c r="AV226" i="3"/>
  <c r="AV227" i="3"/>
  <c r="AV228" i="3"/>
  <c r="AV229" i="3"/>
  <c r="AV230" i="3"/>
  <c r="AV231" i="3"/>
  <c r="AV232" i="3"/>
  <c r="AV233" i="3"/>
  <c r="AV234" i="3"/>
  <c r="AV235" i="3"/>
  <c r="AV236" i="3"/>
  <c r="AV237" i="3"/>
  <c r="AV238" i="3"/>
  <c r="AV239" i="3"/>
  <c r="AV240" i="3"/>
  <c r="AV241" i="3"/>
  <c r="AV242" i="3"/>
  <c r="AV243" i="3"/>
  <c r="AV244" i="3"/>
  <c r="AV245" i="3"/>
  <c r="AV246" i="3"/>
  <c r="AV247" i="3"/>
  <c r="AV206" i="3"/>
  <c r="AV207" i="3"/>
  <c r="AV208" i="3"/>
  <c r="AV209" i="3"/>
  <c r="AV210" i="3"/>
  <c r="AV211" i="3"/>
  <c r="AV212" i="3"/>
  <c r="AV213" i="3"/>
  <c r="AV214" i="3"/>
  <c r="AV215" i="3"/>
  <c r="AV216" i="3"/>
  <c r="AV217" i="3"/>
  <c r="AV205" i="3"/>
  <c r="AV218" i="3" s="1"/>
  <c r="AV341" i="3" s="1"/>
  <c r="AV201" i="3"/>
  <c r="AV196" i="3"/>
  <c r="AV202" i="3" s="1"/>
  <c r="AV340" i="3" s="1"/>
  <c r="AV197" i="3"/>
  <c r="AV198" i="3"/>
  <c r="AV199" i="3"/>
  <c r="AV200" i="3"/>
  <c r="AV166" i="3"/>
  <c r="AV167" i="3"/>
  <c r="AV168" i="3"/>
  <c r="AV169" i="3"/>
  <c r="AV170" i="3"/>
  <c r="AV171" i="3"/>
  <c r="AV172" i="3"/>
  <c r="AV173" i="3"/>
  <c r="AV174" i="3"/>
  <c r="AV175" i="3"/>
  <c r="AV176" i="3"/>
  <c r="AV177" i="3"/>
  <c r="AV178" i="3"/>
  <c r="AV179" i="3"/>
  <c r="AV180" i="3"/>
  <c r="AV181" i="3"/>
  <c r="AV182" i="3"/>
  <c r="AV183" i="3"/>
  <c r="AV184" i="3"/>
  <c r="AV185" i="3"/>
  <c r="AV186" i="3"/>
  <c r="AV187" i="3"/>
  <c r="AV188" i="3"/>
  <c r="AV189" i="3"/>
  <c r="AV190" i="3"/>
  <c r="AV191" i="3"/>
  <c r="AV165" i="3"/>
  <c r="AV192" i="3" s="1"/>
  <c r="AV339" i="3" s="1"/>
  <c r="AV139" i="3"/>
  <c r="AV140" i="3"/>
  <c r="AV141" i="3"/>
  <c r="AV142" i="3"/>
  <c r="AV143" i="3"/>
  <c r="AV144" i="3"/>
  <c r="AV145" i="3"/>
  <c r="AV146" i="3"/>
  <c r="AV147" i="3"/>
  <c r="AV148" i="3"/>
  <c r="AV149" i="3"/>
  <c r="AV150" i="3"/>
  <c r="AV151" i="3"/>
  <c r="AV152" i="3"/>
  <c r="AV153" i="3"/>
  <c r="AV154" i="3"/>
  <c r="AV155" i="3"/>
  <c r="AV156" i="3"/>
  <c r="AV157" i="3"/>
  <c r="AV158" i="3"/>
  <c r="AV159" i="3"/>
  <c r="AV160" i="3"/>
  <c r="AV161" i="3"/>
  <c r="AV138" i="3"/>
  <c r="AV162" i="3" s="1"/>
  <c r="AV338" i="3" s="1"/>
  <c r="AV107" i="3"/>
  <c r="AV108" i="3"/>
  <c r="AV109" i="3"/>
  <c r="AV110" i="3"/>
  <c r="AV111" i="3"/>
  <c r="AV112" i="3"/>
  <c r="AV113" i="3"/>
  <c r="AV114" i="3"/>
  <c r="AV115" i="3"/>
  <c r="AV116" i="3"/>
  <c r="AV117" i="3"/>
  <c r="AV118" i="3"/>
  <c r="AV119" i="3"/>
  <c r="AV120" i="3"/>
  <c r="AV121" i="3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06" i="3"/>
  <c r="AV135" i="3" s="1"/>
  <c r="AV337" i="3" s="1"/>
  <c r="AV79" i="3"/>
  <c r="AV80" i="3"/>
  <c r="AV81" i="3"/>
  <c r="AV103" i="3" s="1"/>
  <c r="AV336" i="3" s="1"/>
  <c r="AV82" i="3"/>
  <c r="AV83" i="3"/>
  <c r="AV84" i="3"/>
  <c r="AV85" i="3"/>
  <c r="AV86" i="3"/>
  <c r="AV87" i="3"/>
  <c r="AV88" i="3"/>
  <c r="AV89" i="3"/>
  <c r="AV90" i="3"/>
  <c r="AV91" i="3"/>
  <c r="AV92" i="3"/>
  <c r="AV93" i="3"/>
  <c r="AV94" i="3"/>
  <c r="AV95" i="3"/>
  <c r="AV96" i="3"/>
  <c r="AV97" i="3"/>
  <c r="AV98" i="3"/>
  <c r="AV99" i="3"/>
  <c r="AV100" i="3"/>
  <c r="AV101" i="3"/>
  <c r="AV102" i="3"/>
  <c r="AV78" i="3"/>
  <c r="AV5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V66" i="3"/>
  <c r="AV67" i="3"/>
  <c r="AV68" i="3"/>
  <c r="AV69" i="3"/>
  <c r="AV70" i="3"/>
  <c r="AV71" i="3"/>
  <c r="AV72" i="3"/>
  <c r="AV73" i="3"/>
  <c r="AV74" i="3"/>
  <c r="AV52" i="3"/>
  <c r="AV75" i="3" s="1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26" i="3"/>
  <c r="AV49" i="3" s="1"/>
  <c r="AV334" i="3" s="1"/>
  <c r="AV4" i="3"/>
  <c r="AV5" i="3"/>
  <c r="AV6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3" i="3"/>
  <c r="AV23" i="3" s="1"/>
  <c r="AV333" i="3" s="1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C21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C248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C305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X328" i="3"/>
  <c r="Y328" i="3"/>
  <c r="Z328" i="3"/>
  <c r="AA328" i="3"/>
  <c r="AB328" i="3"/>
  <c r="AC328" i="3"/>
  <c r="AD328" i="3"/>
  <c r="AE328" i="3"/>
  <c r="AF328" i="3"/>
  <c r="AG328" i="3"/>
  <c r="AH328" i="3"/>
  <c r="AI328" i="3"/>
  <c r="AJ328" i="3"/>
  <c r="AK328" i="3"/>
  <c r="AL328" i="3"/>
  <c r="AM328" i="3"/>
  <c r="AN328" i="3"/>
  <c r="AO328" i="3"/>
  <c r="AP328" i="3"/>
  <c r="AQ328" i="3"/>
  <c r="AR328" i="3"/>
  <c r="AS328" i="3"/>
  <c r="AT328" i="3"/>
  <c r="AU328" i="3"/>
  <c r="C328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C19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C162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C135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C103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C75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V348" i="3" l="1"/>
  <c r="AV335" i="3"/>
  <c r="AV347" i="3"/>
  <c r="AU305" i="3"/>
  <c r="I133" i="1" l="1"/>
  <c r="H133" i="1"/>
  <c r="G133" i="1"/>
  <c r="F133" i="1"/>
  <c r="E133" i="1"/>
  <c r="I127" i="1"/>
  <c r="H127" i="1"/>
  <c r="G127" i="1"/>
  <c r="F127" i="1"/>
  <c r="E127" i="1"/>
  <c r="I120" i="1"/>
  <c r="H120" i="1"/>
  <c r="G120" i="1"/>
  <c r="F120" i="1"/>
  <c r="E120" i="1"/>
  <c r="D120" i="1"/>
  <c r="J119" i="1"/>
  <c r="J118" i="1"/>
  <c r="J117" i="1"/>
  <c r="J116" i="1"/>
  <c r="J115" i="1"/>
  <c r="I112" i="1"/>
  <c r="H112" i="1"/>
  <c r="G112" i="1"/>
  <c r="F112" i="1"/>
  <c r="E112" i="1"/>
  <c r="D112" i="1"/>
  <c r="J111" i="1"/>
  <c r="J110" i="1"/>
  <c r="J109" i="1"/>
  <c r="J108" i="1"/>
  <c r="J107" i="1"/>
  <c r="J106" i="1"/>
  <c r="I103" i="1"/>
  <c r="H103" i="1"/>
  <c r="G103" i="1"/>
  <c r="F103" i="1"/>
  <c r="E103" i="1"/>
  <c r="D103" i="1"/>
  <c r="J102" i="1"/>
  <c r="J101" i="1"/>
  <c r="J100" i="1"/>
  <c r="J99" i="1"/>
  <c r="J98" i="1"/>
  <c r="J97" i="1"/>
  <c r="I94" i="1"/>
  <c r="H94" i="1"/>
  <c r="G94" i="1"/>
  <c r="F94" i="1"/>
  <c r="E94" i="1"/>
  <c r="D94" i="1"/>
  <c r="J93" i="1"/>
  <c r="J92" i="1"/>
  <c r="J94" i="1" s="1"/>
  <c r="J145" i="1" s="1"/>
  <c r="I89" i="1"/>
  <c r="H89" i="1"/>
  <c r="G89" i="1"/>
  <c r="F89" i="1"/>
  <c r="E89" i="1"/>
  <c r="D89" i="1"/>
  <c r="J88" i="1"/>
  <c r="J87" i="1"/>
  <c r="J86" i="1"/>
  <c r="J85" i="1"/>
  <c r="J84" i="1"/>
  <c r="J83" i="1"/>
  <c r="J82" i="1"/>
  <c r="J81" i="1"/>
  <c r="J89" i="1" s="1"/>
  <c r="J144" i="1" s="1"/>
  <c r="I78" i="1"/>
  <c r="H78" i="1"/>
  <c r="G78" i="1"/>
  <c r="F78" i="1"/>
  <c r="E78" i="1"/>
  <c r="D78" i="1"/>
  <c r="J77" i="1"/>
  <c r="J76" i="1"/>
  <c r="J75" i="1"/>
  <c r="J74" i="1"/>
  <c r="J73" i="1"/>
  <c r="J72" i="1"/>
  <c r="J71" i="1"/>
  <c r="J70" i="1"/>
  <c r="J69" i="1"/>
  <c r="J68" i="1"/>
  <c r="J78" i="1" s="1"/>
  <c r="J143" i="1" s="1"/>
  <c r="I65" i="1"/>
  <c r="H65" i="1"/>
  <c r="G65" i="1"/>
  <c r="F65" i="1"/>
  <c r="E65" i="1"/>
  <c r="D65" i="1"/>
  <c r="J64" i="1"/>
  <c r="J63" i="1"/>
  <c r="J62" i="1"/>
  <c r="J61" i="1"/>
  <c r="J60" i="1"/>
  <c r="J59" i="1"/>
  <c r="J58" i="1"/>
  <c r="I55" i="1"/>
  <c r="H55" i="1"/>
  <c r="G55" i="1"/>
  <c r="F55" i="1"/>
  <c r="E55" i="1"/>
  <c r="D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I39" i="1"/>
  <c r="H39" i="1"/>
  <c r="G39" i="1"/>
  <c r="F39" i="1"/>
  <c r="E39" i="1"/>
  <c r="D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I23" i="1"/>
  <c r="H23" i="1"/>
  <c r="G23" i="1"/>
  <c r="F23" i="1"/>
  <c r="E23" i="1"/>
  <c r="D23" i="1"/>
  <c r="J22" i="1"/>
  <c r="J21" i="1"/>
  <c r="J20" i="1"/>
  <c r="J19" i="1"/>
  <c r="J18" i="1"/>
  <c r="J17" i="1"/>
  <c r="J16" i="1"/>
  <c r="J15" i="1"/>
  <c r="I12" i="1"/>
  <c r="H12" i="1"/>
  <c r="G12" i="1"/>
  <c r="F12" i="1"/>
  <c r="E12" i="1"/>
  <c r="D12" i="1"/>
  <c r="J11" i="1"/>
  <c r="J10" i="1"/>
  <c r="J9" i="1"/>
  <c r="J8" i="1"/>
  <c r="J7" i="1"/>
  <c r="J6" i="1"/>
  <c r="J5" i="1"/>
  <c r="J4" i="1"/>
  <c r="J23" i="1" l="1"/>
  <c r="J139" i="1" s="1"/>
  <c r="J12" i="1"/>
  <c r="J39" i="1"/>
  <c r="J140" i="1" s="1"/>
  <c r="J65" i="1"/>
  <c r="J142" i="1" s="1"/>
  <c r="J103" i="1"/>
  <c r="J146" i="1" s="1"/>
  <c r="J112" i="1"/>
  <c r="J147" i="1" s="1"/>
  <c r="J120" i="1"/>
  <c r="J148" i="1" s="1"/>
  <c r="J55" i="1"/>
  <c r="J141" i="1" s="1"/>
  <c r="D123" i="1"/>
  <c r="D124" i="1" s="1"/>
  <c r="J124" i="1" s="1"/>
  <c r="J138" i="1" l="1"/>
  <c r="J123" i="1"/>
  <c r="D125" i="1"/>
  <c r="J125" i="1" s="1"/>
  <c r="D126" i="1" l="1"/>
  <c r="J126" i="1" s="1"/>
  <c r="J127" i="1" s="1"/>
  <c r="J149" i="1" l="1"/>
  <c r="D127" i="1"/>
  <c r="D130" i="1" s="1"/>
  <c r="J130" i="1" s="1"/>
  <c r="D131" i="1" l="1"/>
  <c r="J131" i="1" s="1"/>
  <c r="D132" i="1" l="1"/>
  <c r="J132" i="1" s="1"/>
  <c r="J133" i="1" s="1"/>
  <c r="J150" i="1" l="1"/>
  <c r="J152" i="1" s="1"/>
  <c r="J153" i="1"/>
  <c r="D133" i="1"/>
</calcChain>
</file>

<file path=xl/sharedStrings.xml><?xml version="1.0" encoding="utf-8"?>
<sst xmlns="http://schemas.openxmlformats.org/spreadsheetml/2006/main" count="1187" uniqueCount="118">
  <si>
    <t>Month</t>
  </si>
  <si>
    <t>Role</t>
  </si>
  <si>
    <t>Archer Resourcing</t>
  </si>
  <si>
    <t> Infermiera Health Care</t>
  </si>
  <si>
    <t>Locum Meds</t>
  </si>
  <si>
    <t>Premium Staffing</t>
  </si>
  <si>
    <t>Priority Nursing</t>
  </si>
  <si>
    <t>Workforce Solutions</t>
  </si>
  <si>
    <t>Grand Total</t>
  </si>
  <si>
    <t>April</t>
  </si>
  <si>
    <t>Band 5 Nurse</t>
  </si>
  <si>
    <t>Community Nurse</t>
  </si>
  <si>
    <t>CPN</t>
  </si>
  <si>
    <t>Depot Lead Nurse</t>
  </si>
  <si>
    <t>DISTRICT NURSE</t>
  </si>
  <si>
    <t>Minor Illness: Nurse</t>
  </si>
  <si>
    <t>Paramedic</t>
  </si>
  <si>
    <t>Social Worker</t>
  </si>
  <si>
    <t>Total</t>
  </si>
  <si>
    <t>May</t>
  </si>
  <si>
    <t>Band 6 nurse</t>
  </si>
  <si>
    <t>CJIT Nurse</t>
  </si>
  <si>
    <t>RMN</t>
  </si>
  <si>
    <t>June</t>
  </si>
  <si>
    <t>community nurse</t>
  </si>
  <si>
    <t>DN</t>
  </si>
  <si>
    <t>IDH NURSE</t>
  </si>
  <si>
    <t>Nurse</t>
  </si>
  <si>
    <t>July</t>
  </si>
  <si>
    <t>Band 5 nurse</t>
  </si>
  <si>
    <t>August</t>
  </si>
  <si>
    <t>September</t>
  </si>
  <si>
    <t>Band 5</t>
  </si>
  <si>
    <t>October</t>
  </si>
  <si>
    <t>November</t>
  </si>
  <si>
    <t>December</t>
  </si>
  <si>
    <t>January</t>
  </si>
  <si>
    <t>February</t>
  </si>
  <si>
    <t xml:space="preserve"> March</t>
  </si>
  <si>
    <t>Row Labels</t>
  </si>
  <si>
    <t>3D Recruitment</t>
  </si>
  <si>
    <t>App Locum</t>
  </si>
  <si>
    <t>Athona</t>
  </si>
  <si>
    <t>Beacon</t>
  </si>
  <si>
    <t>Biggs Healthcare</t>
  </si>
  <si>
    <t>Care Solutions</t>
  </si>
  <si>
    <t>CES Locums</t>
  </si>
  <si>
    <t>Chase Medical</t>
  </si>
  <si>
    <t>Day Webster</t>
  </si>
  <si>
    <t>DRC Locums</t>
  </si>
  <si>
    <t>Enviva Care</t>
  </si>
  <si>
    <t>HCL</t>
  </si>
  <si>
    <t>Hourglass</t>
  </si>
  <si>
    <t>Hunter Mental Health</t>
  </si>
  <si>
    <t>ID Medical</t>
  </si>
  <si>
    <t>IMC LOCUMS</t>
  </si>
  <si>
    <t>Locummeds</t>
  </si>
  <si>
    <t>Maxxima Ltd t/a Labmed Recruitment</t>
  </si>
  <si>
    <t>Medicare Health Professional</t>
  </si>
  <si>
    <t>Medicure Professional LTD</t>
  </si>
  <si>
    <t>Medilink</t>
  </si>
  <si>
    <t>Medsol Healthcare Services Ltd</t>
  </si>
  <si>
    <t>MHP</t>
  </si>
  <si>
    <t>MSI Recruitment</t>
  </si>
  <si>
    <t>MSU</t>
  </si>
  <si>
    <t>NURSING 2000</t>
  </si>
  <si>
    <t>P E Global Healthcare</t>
  </si>
  <si>
    <t>PerTemps</t>
  </si>
  <si>
    <t>PSL RECRUITMENT</t>
  </si>
  <si>
    <t>Pulse</t>
  </si>
  <si>
    <t>Redspot Care Ltd</t>
  </si>
  <si>
    <t>Sanctuary</t>
  </si>
  <si>
    <t>Sensible Staffing</t>
  </si>
  <si>
    <t>Service Care Solutions</t>
  </si>
  <si>
    <t>Seven Resoucing</t>
  </si>
  <si>
    <t>Seven Social Care</t>
  </si>
  <si>
    <t>TBC</t>
  </si>
  <si>
    <t>The London Teaching Pool</t>
  </si>
  <si>
    <t>Tripod</t>
  </si>
  <si>
    <t>Unity Healthcare</t>
  </si>
  <si>
    <t>West Meria</t>
  </si>
  <si>
    <t>Your World</t>
  </si>
  <si>
    <t>Your World Healthcare</t>
  </si>
  <si>
    <t>Your World Nursing</t>
  </si>
  <si>
    <t>Your World Recruitment Ltd</t>
  </si>
  <si>
    <t>ANP</t>
  </si>
  <si>
    <t>Band 4 HCA</t>
  </si>
  <si>
    <t>Care Co-Ordinator</t>
  </si>
  <si>
    <t>EPCT DN</t>
  </si>
  <si>
    <t>EPCT RR PHLEBOTOMIST</t>
  </si>
  <si>
    <t>HCA</t>
  </si>
  <si>
    <t>Locum OT</t>
  </si>
  <si>
    <t>Minor Illness</t>
  </si>
  <si>
    <t>Telehealth Nurse</t>
  </si>
  <si>
    <t>Psychologist</t>
  </si>
  <si>
    <t>Advanced Nurse Practioner</t>
  </si>
  <si>
    <t>Psych. Liaison Nurse</t>
  </si>
  <si>
    <t>Community Mental Health Practitioner</t>
  </si>
  <si>
    <t>Community OT</t>
  </si>
  <si>
    <t>CONTINENCE NURSE</t>
  </si>
  <si>
    <t>FOTHERGILL NURSE</t>
  </si>
  <si>
    <t>Locum PT</t>
  </si>
  <si>
    <t>Band 6 Nurse</t>
  </si>
  <si>
    <t>Dietician</t>
  </si>
  <si>
    <t xml:space="preserve">CPN </t>
  </si>
  <si>
    <t>CSW</t>
  </si>
  <si>
    <t>Deputy Lead Nurse</t>
  </si>
  <si>
    <t>RAT NURSE</t>
  </si>
  <si>
    <t>RCN</t>
  </si>
  <si>
    <t>Deputy Lead nurse</t>
  </si>
  <si>
    <t>Physiotherapist</t>
  </si>
  <si>
    <t>Pysiotherapist</t>
  </si>
  <si>
    <t>RAT</t>
  </si>
  <si>
    <t>March</t>
  </si>
  <si>
    <t>Deputy lead Nurse</t>
  </si>
  <si>
    <t>Lead AMPHS</t>
  </si>
  <si>
    <t xml:space="preserve">RMN </t>
  </si>
  <si>
    <t>0 Nurse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</si>
</sst>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43" fontId="0" fillId="0" borderId="0" xfId="0" applyNumberFormat="1"/>
    <xf numFmtId="43" fontId="3" fillId="0" borderId="0" xfId="1" applyFont="1"/>
    <xf numFmtId="43" fontId="3" fillId="0" borderId="0" xfId="1" applyNumberFormat="1" applyFont="1"/>
    <xf numFmtId="43" fontId="0" fillId="0" borderId="0" xfId="1" applyFont="1"/>
    <xf numFmtId="43" fontId="0" fillId="0" borderId="0" xfId="1" applyFont="1" applyAlignme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Fill="1"/>
    <xf numFmtId="43" fontId="0" fillId="0" borderId="0" xfId="1" applyFont="1" applyFill="1"/>
    <xf numFmtId="43" fontId="3" fillId="0" borderId="1" xfId="1" applyNumberFormat="1" applyFont="1" applyBorder="1"/>
    <xf numFmtId="0" fontId="0" fillId="0" borderId="0" xfId="0" applyFill="1"/>
    <xf numFmtId="0" fontId="0" fillId="0" borderId="0" xfId="0" applyNumberFormat="1"/>
    <xf numFmtId="0" fontId="0" fillId="0" borderId="0" xfId="0" applyNumberFormat="1" applyFill="1"/>
    <xf numFmtId="0" fontId="3" fillId="0" borderId="0" xfId="0" applyFont="1" applyAlignment="1">
      <alignment horizontal="left" indent="1"/>
    </xf>
    <xf numFmtId="0" fontId="3" fillId="0" borderId="6" xfId="0" applyFont="1" applyFill="1" applyBorder="1"/>
    <xf numFmtId="43" fontId="3" fillId="0" borderId="6" xfId="1" applyFont="1" applyFill="1" applyBorder="1"/>
    <xf numFmtId="43" fontId="0" fillId="0" borderId="0" xfId="1" applyFont="1" applyFill="1" applyAlignment="1">
      <alignment horizontal="left" indent="1"/>
    </xf>
    <xf numFmtId="43" fontId="0" fillId="0" borderId="0" xfId="0" applyNumberFormat="1" applyFill="1" applyAlignment="1">
      <alignment horizontal="left" indent="1"/>
    </xf>
    <xf numFmtId="43" fontId="1" fillId="0" borderId="0" xfId="0" applyNumberFormat="1" applyFont="1" applyFill="1" applyAlignment="1">
      <alignment horizontal="left" indent="1"/>
    </xf>
    <xf numFmtId="43" fontId="0" fillId="0" borderId="0" xfId="0" applyNumberFormat="1" applyFont="1" applyFill="1" applyAlignment="1">
      <alignment horizontal="left" indent="1"/>
    </xf>
    <xf numFmtId="43" fontId="0" fillId="0" borderId="0" xfId="0" applyNumberFormat="1" applyFont="1" applyFill="1"/>
    <xf numFmtId="17" fontId="0" fillId="0" borderId="0" xfId="1" applyNumberFormat="1" applyFont="1" applyFill="1"/>
    <xf numFmtId="43" fontId="0" fillId="0" borderId="0" xfId="1" applyFont="1" applyFill="1" applyAlignment="1">
      <alignment horizontal="right"/>
    </xf>
    <xf numFmtId="43" fontId="0" fillId="0" borderId="0" xfId="0" applyNumberFormat="1" applyFill="1"/>
    <xf numFmtId="43" fontId="3" fillId="3" borderId="7" xfId="1" applyFont="1" applyFill="1" applyBorder="1" applyAlignment="1">
      <alignment horizontal="center" vertical="center"/>
    </xf>
    <xf numFmtId="43" fontId="3" fillId="3" borderId="0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34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\FinanceNetwork\A7%20-%20NHSi%20AGENCY%20RETURNS\Returns\2023-24\FOI%20-%20Freedom%20Of%20Information\FOI%20-%20Consolidation\08.%20November%20Consolid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hift Overides"/>
      <sheetName val="Framework Check"/>
      <sheetName val="Chart1"/>
      <sheetName val="Consolidated Data"/>
      <sheetName val="highcost"/>
      <sheetName val="highcostlongterm"/>
      <sheetName val="bank"/>
      <sheetName val="Dashboard Pivots"/>
      <sheetName val="longterm"/>
      <sheetName val="Lookups"/>
      <sheetName val="Consolidated Data (October)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Admin &amp; Estates</v>
          </cell>
          <cell r="E1" t="str">
            <v>Band 1</v>
          </cell>
          <cell r="F1" t="str">
            <v>399 - PSYCHIATRY SERVICES</v>
          </cell>
          <cell r="G1" t="str">
            <v>Day</v>
          </cell>
        </row>
        <row r="2">
          <cell r="C2" t="str">
            <v>Healthcare Assts &amp; Other Support</v>
          </cell>
          <cell r="E2" t="str">
            <v>Band 2</v>
          </cell>
          <cell r="F2" t="str">
            <v>700 - LEARNING DISABILITY</v>
          </cell>
          <cell r="G2" t="str">
            <v>Night/Saturday</v>
          </cell>
        </row>
        <row r="3">
          <cell r="C3" t="str">
            <v>Medical</v>
          </cell>
          <cell r="E3" t="str">
            <v>Band 3</v>
          </cell>
          <cell r="F3" t="str">
            <v>710 - ADULT MENTAL ILLNESS</v>
          </cell>
          <cell r="G3" t="str">
            <v>Sunday/Bank Holiday</v>
          </cell>
        </row>
        <row r="4">
          <cell r="C4" t="str">
            <v>Nursing and Health Visiting</v>
          </cell>
          <cell r="E4" t="str">
            <v>Band 4</v>
          </cell>
          <cell r="F4" t="str">
            <v>711 - CHILD and ADOLESCENT PSYCHIATRY</v>
          </cell>
          <cell r="G4" t="str">
            <v>Medical - Core</v>
          </cell>
        </row>
        <row r="5">
          <cell r="C5" t="str">
            <v>Scientific, Theraputic &amp; Technical</v>
          </cell>
          <cell r="E5" t="str">
            <v>Band 5</v>
          </cell>
          <cell r="F5" t="str">
            <v>712 - FORENSIC PSYCHIATRY</v>
          </cell>
          <cell r="G5" t="str">
            <v>Medical - Unsocial</v>
          </cell>
        </row>
        <row r="6">
          <cell r="C6" t="str">
            <v>Other</v>
          </cell>
          <cell r="E6" t="str">
            <v>Band 6</v>
          </cell>
          <cell r="F6" t="str">
            <v>713 - PSYCHOTHERAPY</v>
          </cell>
        </row>
        <row r="7">
          <cell r="E7" t="str">
            <v>Band 7</v>
          </cell>
          <cell r="F7" t="str">
            <v>715 - OLD AGE PSYCHIATRY</v>
          </cell>
        </row>
        <row r="8">
          <cell r="E8" t="str">
            <v>Band 8a</v>
          </cell>
          <cell r="F8" t="str">
            <v>879 - COMMUNITY NURSING</v>
          </cell>
          <cell r="G8" t="str">
            <v>Y</v>
          </cell>
        </row>
        <row r="9">
          <cell r="E9" t="str">
            <v>Band 8b</v>
          </cell>
          <cell r="F9" t="str">
            <v>922 - SEXUAL HEALTH SERVICES</v>
          </cell>
          <cell r="G9" t="str">
            <v>N</v>
          </cell>
        </row>
        <row r="10">
          <cell r="E10" t="str">
            <v>Band 8c</v>
          </cell>
          <cell r="F10" t="str">
            <v>925 - COMMUNITY CARE SERVICES</v>
          </cell>
        </row>
        <row r="11">
          <cell r="C11" t="str">
            <v>City &amp; Hackney</v>
          </cell>
          <cell r="E11" t="str">
            <v>Band 8d</v>
          </cell>
          <cell r="F11" t="str">
            <v>926 - THERAPY SERVICES</v>
          </cell>
        </row>
        <row r="12">
          <cell r="C12" t="str">
            <v>Luton &amp; Bedfordshire</v>
          </cell>
          <cell r="E12" t="str">
            <v>Band 9</v>
          </cell>
          <cell r="F12" t="str">
            <v>996 - PSYCHIATRIC INTENSIVE CARE UNIT</v>
          </cell>
        </row>
        <row r="13">
          <cell r="C13" t="str">
            <v>Newham</v>
          </cell>
          <cell r="E13" t="str">
            <v>Foundation Y1</v>
          </cell>
          <cell r="F13" t="str">
            <v>CLINICAL SUPPORT - Physio</v>
          </cell>
        </row>
        <row r="14">
          <cell r="C14" t="str">
            <v>Richmond</v>
          </cell>
          <cell r="E14" t="str">
            <v>Foundation Y2</v>
          </cell>
          <cell r="F14" t="str">
            <v>CLINICAL SUPPORT - Other</v>
          </cell>
        </row>
        <row r="15">
          <cell r="C15" t="str">
            <v>Tower Hamlets</v>
          </cell>
          <cell r="E15" t="str">
            <v>Registrar ST1-2 / Core Medical Training</v>
          </cell>
          <cell r="F15" t="str">
            <v>CORPORATE AND ADMIN - Senior MGMT</v>
          </cell>
        </row>
        <row r="16">
          <cell r="C16" t="str">
            <v>Trust HQ (Alie Street)</v>
          </cell>
          <cell r="E16" t="str">
            <v>Registrar ST3 (+)</v>
          </cell>
          <cell r="F16" t="str">
            <v>CORPORATE AND ADMIN - IT</v>
          </cell>
        </row>
        <row r="17">
          <cell r="E17" t="str">
            <v>Specialty / staff grade Doctor</v>
          </cell>
          <cell r="F17" t="str">
            <v>CORPORATE AND ADMIN - Finance</v>
          </cell>
        </row>
        <row r="18">
          <cell r="E18" t="str">
            <v>Associate Specialist</v>
          </cell>
          <cell r="F18" t="str">
            <v>CORPORATE AND ADMIN - Admin other</v>
          </cell>
        </row>
        <row r="19">
          <cell r="E19" t="str">
            <v>Consultant / GP</v>
          </cell>
          <cell r="F19" t="str">
            <v>CORPORATE AND ADMIN - Estates other</v>
          </cell>
        </row>
        <row r="20">
          <cell r="F20" t="str">
            <v>OTHER COMMUNITY</v>
          </cell>
        </row>
        <row r="21">
          <cell r="F21" t="str">
            <v>OTHER MENTAL HEALTH</v>
          </cell>
        </row>
        <row r="22">
          <cell r="F22" t="str">
            <v>100 - GENERAL SURGERY</v>
          </cell>
        </row>
        <row r="23">
          <cell r="F23" t="str">
            <v>101 - UROLOGY</v>
          </cell>
        </row>
        <row r="24">
          <cell r="F24" t="str">
            <v>103 - BREAST SURGERY</v>
          </cell>
        </row>
        <row r="25">
          <cell r="F25" t="str">
            <v>110 - TRAUMA &amp; ORTHOPAEDICS</v>
          </cell>
        </row>
        <row r="26">
          <cell r="F26" t="str">
            <v>120 - ENT</v>
          </cell>
        </row>
        <row r="27">
          <cell r="F27" t="str">
            <v>130 - OPHTHALMOLOGY</v>
          </cell>
        </row>
        <row r="28">
          <cell r="F28" t="str">
            <v>140 - ORAL SURGERY</v>
          </cell>
        </row>
        <row r="29">
          <cell r="F29" t="str">
            <v>143 - ORTHODONTICS</v>
          </cell>
        </row>
        <row r="30">
          <cell r="F30" t="str">
            <v>145 - ORAL &amp; MAXILLO FACIAL SURGERY</v>
          </cell>
        </row>
        <row r="31">
          <cell r="F31" t="str">
            <v>150 - NEUROSURGERY</v>
          </cell>
        </row>
        <row r="32">
          <cell r="F32" t="str">
            <v>160 - PLASTIC SURGERY</v>
          </cell>
        </row>
        <row r="33">
          <cell r="F33" t="str">
            <v>170 - CARDIOTHORACIC SURGERY</v>
          </cell>
        </row>
        <row r="34">
          <cell r="F34" t="str">
            <v>171 - PAEDIATRIC SURGERY</v>
          </cell>
        </row>
        <row r="35">
          <cell r="F35" t="str">
            <v>180 - ACCIDENT &amp; EMERGENCY</v>
          </cell>
        </row>
        <row r="36">
          <cell r="F36" t="str">
            <v>190 - ANAESTHETICS</v>
          </cell>
        </row>
        <row r="37">
          <cell r="F37" t="str">
            <v>192 - CRITICAL CARE MEDICINE</v>
          </cell>
        </row>
        <row r="38">
          <cell r="F38" t="str">
            <v>300 - GENERAL MEDICINE</v>
          </cell>
        </row>
        <row r="39">
          <cell r="F39" t="str">
            <v>301 - GASTROENTEROLOGY</v>
          </cell>
        </row>
        <row r="40">
          <cell r="F40" t="str">
            <v>302 - ENDOCRINOLOGY</v>
          </cell>
        </row>
        <row r="41">
          <cell r="F41" t="str">
            <v>303 - CLINICAL HAEMATOLOGY</v>
          </cell>
        </row>
        <row r="42">
          <cell r="F42" t="str">
            <v>304 - CLINICAL PHYSIOLOGY</v>
          </cell>
        </row>
        <row r="43">
          <cell r="F43" t="str">
            <v>305 - CLINICAL PHARMACOLOGY</v>
          </cell>
        </row>
        <row r="44">
          <cell r="F44" t="str">
            <v>307 - DIABETIC MEDICINE</v>
          </cell>
        </row>
        <row r="45">
          <cell r="F45" t="str">
            <v>310 - AUDIOLOGICAL MEDICINE</v>
          </cell>
        </row>
        <row r="46">
          <cell r="F46" t="str">
            <v>314 - REHABILITATION</v>
          </cell>
        </row>
        <row r="47">
          <cell r="F47" t="str">
            <v>315 - PALLIATIVE MEDICINE</v>
          </cell>
        </row>
        <row r="48">
          <cell r="F48" t="str">
            <v>318 - INTERMEDIATE CARE</v>
          </cell>
        </row>
        <row r="49">
          <cell r="F49" t="str">
            <v>320 - CARDIOLOGY</v>
          </cell>
        </row>
        <row r="50">
          <cell r="F50" t="str">
            <v>321 - PAEDIATRIC CARDIOLOGY</v>
          </cell>
        </row>
        <row r="51">
          <cell r="F51" t="str">
            <v>323 - SPINAL INJURIES</v>
          </cell>
        </row>
        <row r="52">
          <cell r="F52" t="str">
            <v>326 - ACUTE INTERNAL MEDICINE</v>
          </cell>
        </row>
        <row r="53">
          <cell r="F53" t="str">
            <v>328 - STROKE MEDICINE</v>
          </cell>
        </row>
        <row r="54">
          <cell r="F54" t="str">
            <v>330 - DERMATOLOGY</v>
          </cell>
        </row>
        <row r="55">
          <cell r="F55" t="str">
            <v>340 - RESPIRATORY MEDICINE</v>
          </cell>
        </row>
        <row r="56">
          <cell r="F56" t="str">
            <v>350 - INFECTIOUS DISEASES</v>
          </cell>
        </row>
        <row r="57">
          <cell r="F57" t="str">
            <v>360 - GENITOURINARY MEDICINE</v>
          </cell>
        </row>
        <row r="58">
          <cell r="F58" t="str">
            <v>361 - NEPHROLOGY</v>
          </cell>
        </row>
        <row r="59">
          <cell r="F59" t="str">
            <v>370 - MEDICAL ONCOLOGY</v>
          </cell>
        </row>
        <row r="60">
          <cell r="F60" t="str">
            <v>400 - NEUROLOGY</v>
          </cell>
        </row>
        <row r="61">
          <cell r="F61" t="str">
            <v>401 - CLINICAL NEURO-PHYSIOLOGY</v>
          </cell>
        </row>
        <row r="62">
          <cell r="F62" t="str">
            <v>410 - RHEUMATOLOGY</v>
          </cell>
        </row>
        <row r="63">
          <cell r="F63" t="str">
            <v>420 - PAEDIATRICS</v>
          </cell>
        </row>
        <row r="64">
          <cell r="F64" t="str">
            <v>421 - PAEDIATRIC NEUROLOGY</v>
          </cell>
        </row>
        <row r="65">
          <cell r="F65" t="str">
            <v>422 - NEONATOLOGY</v>
          </cell>
        </row>
        <row r="66">
          <cell r="F66" t="str">
            <v>430 - GERIATRIC MEDICINE</v>
          </cell>
        </row>
        <row r="67">
          <cell r="F67" t="str">
            <v>450 - DENTAL MEDICINE SPECIALTIES</v>
          </cell>
        </row>
        <row r="68">
          <cell r="F68" t="str">
            <v>501 - OBSTETRICS</v>
          </cell>
        </row>
        <row r="69">
          <cell r="F69" t="str">
            <v>502 - GYNAECOLOGY</v>
          </cell>
        </row>
        <row r="70">
          <cell r="F70" t="str">
            <v>560 - MIDWIFE LED CARE</v>
          </cell>
        </row>
        <row r="71">
          <cell r="F71" t="str">
            <v>800 - CLINICAL ONCOLOGY</v>
          </cell>
        </row>
        <row r="72">
          <cell r="F72" t="str">
            <v>810 - RADIOLOGY</v>
          </cell>
        </row>
        <row r="73">
          <cell r="F73" t="str">
            <v>822 - CHEMICAL PATHOLOGY</v>
          </cell>
        </row>
        <row r="74">
          <cell r="F74" t="str">
            <v>823 - HAEMATOLOGY</v>
          </cell>
        </row>
        <row r="75">
          <cell r="F75" t="str">
            <v>901 - OCCUPATIONAL MEDICINE</v>
          </cell>
        </row>
        <row r="76">
          <cell r="F76" t="str">
            <v>903 - PUBLIC HEALTH MEDICINE</v>
          </cell>
        </row>
        <row r="77">
          <cell r="F77" t="str">
            <v>921 - GENETICS</v>
          </cell>
        </row>
        <row r="78">
          <cell r="F78" t="str">
            <v>923 - DIAGNOSTIC PATHOLOGY</v>
          </cell>
        </row>
        <row r="79">
          <cell r="F79" t="str">
            <v>AMBULANCE - Clinical</v>
          </cell>
        </row>
        <row r="80">
          <cell r="F80" t="str">
            <v>AMBULANCE - Corporate and Admin</v>
          </cell>
        </row>
        <row r="81">
          <cell r="F81" t="str">
            <v>CLINICAL SUPPORT - Imaging</v>
          </cell>
        </row>
        <row r="82">
          <cell r="F82" t="str">
            <v>CLINICAL SUPPORT - Pathology</v>
          </cell>
        </row>
        <row r="83">
          <cell r="F83" t="str">
            <v>THEATRES</v>
          </cell>
        </row>
      </sheetData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0000000}" name="Table2" displayName="Table2" ref="B2:AV23" totalsRowCount="1" headerRowDxfId="1339" dataDxfId="1337" totalsRowDxfId="1336" headerRowBorderDxfId="1338">
  <autoFilter ref="B2:AV22" xr:uid="{00000000-0009-0000-0100-00000E000000}"/>
  <tableColumns count="47">
    <tableColumn id="1" xr3:uid="{00000000-0010-0000-0000-000001000000}" name="Row Labels" totalsRowLabel="Total" dataDxfId="1335" totalsRowDxfId="1334" dataCellStyle="Comma"/>
    <tableColumn id="2" xr3:uid="{00000000-0010-0000-0000-000002000000}" name="3D Recruitment" totalsRowFunction="sum" dataDxfId="1333" totalsRowDxfId="1332" dataCellStyle="Comma"/>
    <tableColumn id="3" xr3:uid="{00000000-0010-0000-0000-000003000000}" name="App Locum" totalsRowFunction="sum" dataDxfId="1331" totalsRowDxfId="1330" dataCellStyle="Comma"/>
    <tableColumn id="4" xr3:uid="{00000000-0010-0000-0000-000004000000}" name="Athona" totalsRowFunction="sum" dataDxfId="1329" totalsRowDxfId="1328" dataCellStyle="Comma"/>
    <tableColumn id="5" xr3:uid="{00000000-0010-0000-0000-000005000000}" name="Beacon" totalsRowFunction="sum" dataDxfId="1327" totalsRowDxfId="1326" dataCellStyle="Comma"/>
    <tableColumn id="6" xr3:uid="{00000000-0010-0000-0000-000006000000}" name="Biggs Healthcare" totalsRowFunction="sum" dataDxfId="1325" totalsRowDxfId="1324" dataCellStyle="Comma"/>
    <tableColumn id="7" xr3:uid="{00000000-0010-0000-0000-000007000000}" name="Care Solutions" totalsRowFunction="sum" dataDxfId="1323" totalsRowDxfId="1322" dataCellStyle="Comma"/>
    <tableColumn id="8" xr3:uid="{00000000-0010-0000-0000-000008000000}" name="CES Locums" totalsRowFunction="sum" dataDxfId="1321" totalsRowDxfId="1320" dataCellStyle="Comma"/>
    <tableColumn id="9" xr3:uid="{00000000-0010-0000-0000-000009000000}" name="Chase Medical" totalsRowFunction="sum" dataDxfId="1319" totalsRowDxfId="1318" dataCellStyle="Comma"/>
    <tableColumn id="10" xr3:uid="{00000000-0010-0000-0000-00000A000000}" name="Day Webster" totalsRowFunction="sum" dataDxfId="1317" totalsRowDxfId="1316" dataCellStyle="Comma"/>
    <tableColumn id="11" xr3:uid="{00000000-0010-0000-0000-00000B000000}" name="DRC Locums" totalsRowFunction="sum" dataDxfId="1315" totalsRowDxfId="1314" dataCellStyle="Comma"/>
    <tableColumn id="12" xr3:uid="{00000000-0010-0000-0000-00000C000000}" name="Enviva Care" totalsRowFunction="sum" dataDxfId="1313" totalsRowDxfId="1312" dataCellStyle="Comma"/>
    <tableColumn id="13" xr3:uid="{00000000-0010-0000-0000-00000D000000}" name="HCL" totalsRowFunction="sum" dataDxfId="1311" totalsRowDxfId="1310" dataCellStyle="Comma"/>
    <tableColumn id="14" xr3:uid="{00000000-0010-0000-0000-00000E000000}" name="Hourglass" totalsRowFunction="sum" dataDxfId="1309" totalsRowDxfId="1308" dataCellStyle="Comma"/>
    <tableColumn id="15" xr3:uid="{00000000-0010-0000-0000-00000F000000}" name="Hunter Mental Health" totalsRowFunction="sum" dataDxfId="1307" totalsRowDxfId="1306" dataCellStyle="Comma"/>
    <tableColumn id="16" xr3:uid="{00000000-0010-0000-0000-000010000000}" name="ID Medical" totalsRowFunction="sum" dataDxfId="1305" totalsRowDxfId="1304" dataCellStyle="Comma"/>
    <tableColumn id="17" xr3:uid="{00000000-0010-0000-0000-000011000000}" name="IMC LOCUMS" totalsRowFunction="sum" dataDxfId="1303" totalsRowDxfId="1302" dataCellStyle="Comma"/>
    <tableColumn id="18" xr3:uid="{00000000-0010-0000-0000-000012000000}" name="Locummeds" totalsRowFunction="sum" dataDxfId="1301" totalsRowDxfId="1300" dataCellStyle="Comma"/>
    <tableColumn id="19" xr3:uid="{00000000-0010-0000-0000-000013000000}" name="Maxxima Ltd t/a Labmed Recruitment" totalsRowFunction="sum" dataDxfId="1299" totalsRowDxfId="1298" dataCellStyle="Comma"/>
    <tableColumn id="20" xr3:uid="{00000000-0010-0000-0000-000014000000}" name="Medicare Health Professional" totalsRowFunction="sum" dataDxfId="1297" totalsRowDxfId="1296" dataCellStyle="Comma"/>
    <tableColumn id="21" xr3:uid="{00000000-0010-0000-0000-000015000000}" name="Medicure Professional LTD" totalsRowFunction="sum" dataDxfId="1295" totalsRowDxfId="1294" dataCellStyle="Comma"/>
    <tableColumn id="22" xr3:uid="{00000000-0010-0000-0000-000016000000}" name="Medilink" totalsRowFunction="sum" dataDxfId="1293" totalsRowDxfId="1292" dataCellStyle="Comma"/>
    <tableColumn id="23" xr3:uid="{00000000-0010-0000-0000-000017000000}" name="Medsol Healthcare Services Ltd" totalsRowFunction="sum" dataDxfId="1291" totalsRowDxfId="1290" dataCellStyle="Comma"/>
    <tableColumn id="24" xr3:uid="{00000000-0010-0000-0000-000018000000}" name="MHP" totalsRowFunction="sum" dataDxfId="1289" totalsRowDxfId="1288" dataCellStyle="Comma"/>
    <tableColumn id="25" xr3:uid="{00000000-0010-0000-0000-000019000000}" name="MSI Recruitment" totalsRowFunction="sum" dataDxfId="1287" totalsRowDxfId="1286" dataCellStyle="Comma"/>
    <tableColumn id="26" xr3:uid="{00000000-0010-0000-0000-00001A000000}" name="MSU" totalsRowFunction="sum" dataDxfId="1285" totalsRowDxfId="1284" dataCellStyle="Comma"/>
    <tableColumn id="27" xr3:uid="{00000000-0010-0000-0000-00001B000000}" name="NURSING 2000" totalsRowFunction="sum" dataDxfId="1283" totalsRowDxfId="1282" dataCellStyle="Comma"/>
    <tableColumn id="28" xr3:uid="{00000000-0010-0000-0000-00001C000000}" name="P E Global Healthcare" totalsRowFunction="sum" dataDxfId="1281" totalsRowDxfId="1280" dataCellStyle="Comma"/>
    <tableColumn id="29" xr3:uid="{00000000-0010-0000-0000-00001D000000}" name="PerTemps" totalsRowFunction="sum" dataDxfId="1279" totalsRowDxfId="1278" dataCellStyle="Comma"/>
    <tableColumn id="30" xr3:uid="{00000000-0010-0000-0000-00001E000000}" name="PSL RECRUITMENT" totalsRowFunction="sum" dataDxfId="1277" totalsRowDxfId="1276" dataCellStyle="Comma"/>
    <tableColumn id="31" xr3:uid="{00000000-0010-0000-0000-00001F000000}" name="Pulse" totalsRowFunction="sum" dataDxfId="1275" totalsRowDxfId="1274" dataCellStyle="Comma"/>
    <tableColumn id="32" xr3:uid="{00000000-0010-0000-0000-000020000000}" name="Redspot Care Ltd" totalsRowFunction="sum" dataDxfId="1273" totalsRowDxfId="1272" dataCellStyle="Comma"/>
    <tableColumn id="33" xr3:uid="{00000000-0010-0000-0000-000021000000}" name="Sanctuary" totalsRowFunction="sum" dataDxfId="1271" totalsRowDxfId="1270" dataCellStyle="Comma"/>
    <tableColumn id="34" xr3:uid="{00000000-0010-0000-0000-000022000000}" name="Sensible Staffing" totalsRowFunction="sum" dataDxfId="1269" totalsRowDxfId="1268" dataCellStyle="Comma"/>
    <tableColumn id="35" xr3:uid="{00000000-0010-0000-0000-000023000000}" name="Service Care Solutions" totalsRowFunction="sum" dataDxfId="1267" totalsRowDxfId="1266" dataCellStyle="Comma"/>
    <tableColumn id="36" xr3:uid="{00000000-0010-0000-0000-000024000000}" name="Seven Resoucing" totalsRowFunction="sum" dataDxfId="1265" totalsRowDxfId="1264" dataCellStyle="Comma"/>
    <tableColumn id="37" xr3:uid="{00000000-0010-0000-0000-000025000000}" name="Seven Social Care" totalsRowFunction="sum" dataDxfId="1263" totalsRowDxfId="1262" dataCellStyle="Comma"/>
    <tableColumn id="38" xr3:uid="{00000000-0010-0000-0000-000026000000}" name="TBC" totalsRowFunction="sum" dataDxfId="1261" totalsRowDxfId="1260" dataCellStyle="Comma"/>
    <tableColumn id="39" xr3:uid="{00000000-0010-0000-0000-000027000000}" name="The London Teaching Pool" totalsRowFunction="sum" dataDxfId="1259" totalsRowDxfId="1258" dataCellStyle="Comma"/>
    <tableColumn id="40" xr3:uid="{00000000-0010-0000-0000-000028000000}" name="Tripod" totalsRowFunction="sum" dataDxfId="1257" totalsRowDxfId="1256" dataCellStyle="Comma"/>
    <tableColumn id="41" xr3:uid="{00000000-0010-0000-0000-000029000000}" name="Unity Healthcare" totalsRowFunction="sum" dataDxfId="1255" totalsRowDxfId="1254" dataCellStyle="Comma"/>
    <tableColumn id="42" xr3:uid="{00000000-0010-0000-0000-00002A000000}" name="West Meria" totalsRowFunction="sum" dataDxfId="1253" totalsRowDxfId="1252" dataCellStyle="Comma"/>
    <tableColumn id="43" xr3:uid="{00000000-0010-0000-0000-00002B000000}" name="Your World" totalsRowFunction="sum" dataDxfId="1251" totalsRowDxfId="1250" dataCellStyle="Comma"/>
    <tableColumn id="44" xr3:uid="{00000000-0010-0000-0000-00002C000000}" name="Your World Healthcare" totalsRowFunction="sum" dataDxfId="1249" totalsRowDxfId="1248" dataCellStyle="Comma"/>
    <tableColumn id="45" xr3:uid="{00000000-0010-0000-0000-00002D000000}" name="Your World Nursing" totalsRowFunction="sum" dataDxfId="1247" totalsRowDxfId="1246" dataCellStyle="Comma"/>
    <tableColumn id="46" xr3:uid="{00000000-0010-0000-0000-00002E000000}" name="Your World Recruitment Ltd" totalsRowFunction="sum" dataDxfId="1245" totalsRowDxfId="1244" dataCellStyle="Comma"/>
    <tableColumn id="47" xr3:uid="{00000000-0010-0000-0000-00002F000000}" name="Grand Total" totalsRowFunction="sum" dataDxfId="1243" totalsRowDxfId="1242">
      <calculatedColumnFormula>SUM(A3:AU3)</calculatedColumnFormula>
    </tableColumn>
  </tableColumns>
  <tableStyleInfo name="TableStyleLight2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9000000}" name="Table25" displayName="Table25" ref="B250:AV275" totalsRowCount="1" headerRowDxfId="465" dataDxfId="463" headerRowBorderDxfId="464">
  <autoFilter ref="B250:AV274" xr:uid="{00000000-0009-0000-0100-000019000000}"/>
  <tableColumns count="47">
    <tableColumn id="1" xr3:uid="{00000000-0010-0000-0900-000001000000}" name="Row Labels" totalsRowLabel="Total" dataDxfId="462" totalsRowDxfId="461" dataCellStyle="Comma"/>
    <tableColumn id="2" xr3:uid="{00000000-0010-0000-0900-000002000000}" name="3D Recruitment" totalsRowFunction="sum" dataDxfId="460" totalsRowDxfId="459" dataCellStyle="Comma"/>
    <tableColumn id="3" xr3:uid="{00000000-0010-0000-0900-000003000000}" name="App Locum" totalsRowFunction="sum" dataDxfId="458" totalsRowDxfId="457" dataCellStyle="Comma"/>
    <tableColumn id="4" xr3:uid="{00000000-0010-0000-0900-000004000000}" name="Athona" totalsRowFunction="sum" dataDxfId="456" totalsRowDxfId="455" dataCellStyle="Comma"/>
    <tableColumn id="5" xr3:uid="{00000000-0010-0000-0900-000005000000}" name="Beacon" totalsRowFunction="sum" dataDxfId="454" totalsRowDxfId="453" dataCellStyle="Comma"/>
    <tableColumn id="6" xr3:uid="{00000000-0010-0000-0900-000006000000}" name="Biggs Healthcare" totalsRowFunction="sum" dataDxfId="452" totalsRowDxfId="451" dataCellStyle="Comma"/>
    <tableColumn id="7" xr3:uid="{00000000-0010-0000-0900-000007000000}" name="Care Solutions" totalsRowFunction="sum" dataDxfId="450" totalsRowDxfId="449" dataCellStyle="Comma"/>
    <tableColumn id="8" xr3:uid="{00000000-0010-0000-0900-000008000000}" name="CES Locums" totalsRowFunction="sum" dataDxfId="448" totalsRowDxfId="447" dataCellStyle="Comma"/>
    <tableColumn id="9" xr3:uid="{00000000-0010-0000-0900-000009000000}" name="Chase Medical" totalsRowFunction="sum" dataDxfId="446" totalsRowDxfId="445" dataCellStyle="Comma"/>
    <tableColumn id="10" xr3:uid="{00000000-0010-0000-0900-00000A000000}" name="Day Webster" totalsRowFunction="sum" dataDxfId="444" totalsRowDxfId="443" dataCellStyle="Comma"/>
    <tableColumn id="11" xr3:uid="{00000000-0010-0000-0900-00000B000000}" name="DRC Locums" totalsRowFunction="sum" dataDxfId="442" totalsRowDxfId="441" dataCellStyle="Comma"/>
    <tableColumn id="12" xr3:uid="{00000000-0010-0000-0900-00000C000000}" name="Enviva Care" totalsRowFunction="sum" dataDxfId="440" totalsRowDxfId="439" dataCellStyle="Comma"/>
    <tableColumn id="13" xr3:uid="{00000000-0010-0000-0900-00000D000000}" name="HCL" totalsRowFunction="sum" dataDxfId="438" totalsRowDxfId="437" dataCellStyle="Comma"/>
    <tableColumn id="14" xr3:uid="{00000000-0010-0000-0900-00000E000000}" name="Hourglass" totalsRowFunction="sum" dataDxfId="436" totalsRowDxfId="435" dataCellStyle="Comma"/>
    <tableColumn id="15" xr3:uid="{00000000-0010-0000-0900-00000F000000}" name="Hunter Mental Health" totalsRowFunction="sum" dataDxfId="434" totalsRowDxfId="433" dataCellStyle="Comma"/>
    <tableColumn id="16" xr3:uid="{00000000-0010-0000-0900-000010000000}" name="ID Medical" totalsRowFunction="sum" dataDxfId="432" totalsRowDxfId="431" dataCellStyle="Comma"/>
    <tableColumn id="17" xr3:uid="{00000000-0010-0000-0900-000011000000}" name="IMC LOCUMS" totalsRowFunction="sum" dataDxfId="430" totalsRowDxfId="429" dataCellStyle="Comma"/>
    <tableColumn id="18" xr3:uid="{00000000-0010-0000-0900-000012000000}" name="Locummeds" totalsRowFunction="sum" dataDxfId="428" totalsRowDxfId="427" dataCellStyle="Comma"/>
    <tableColumn id="19" xr3:uid="{00000000-0010-0000-0900-000013000000}" name="Maxxima Ltd t/a Labmed Recruitment" totalsRowFunction="sum" dataDxfId="426" totalsRowDxfId="425" dataCellStyle="Comma"/>
    <tableColumn id="20" xr3:uid="{00000000-0010-0000-0900-000014000000}" name="Medicare Health Professional" totalsRowFunction="sum" dataDxfId="424" totalsRowDxfId="423" dataCellStyle="Comma"/>
    <tableColumn id="21" xr3:uid="{00000000-0010-0000-0900-000015000000}" name="Medicure Professional LTD" totalsRowFunction="sum" dataDxfId="422" totalsRowDxfId="421" dataCellStyle="Comma"/>
    <tableColumn id="22" xr3:uid="{00000000-0010-0000-0900-000016000000}" name="Medilink" totalsRowFunction="sum" dataDxfId="420" totalsRowDxfId="419" dataCellStyle="Comma"/>
    <tableColumn id="23" xr3:uid="{00000000-0010-0000-0900-000017000000}" name="Medsol Healthcare Services Ltd" totalsRowFunction="sum" dataDxfId="418" totalsRowDxfId="417" dataCellStyle="Comma"/>
    <tableColumn id="24" xr3:uid="{00000000-0010-0000-0900-000018000000}" name="MHP" totalsRowFunction="sum" dataDxfId="416" totalsRowDxfId="415" dataCellStyle="Comma"/>
    <tableColumn id="25" xr3:uid="{00000000-0010-0000-0900-000019000000}" name="MSI Recruitment" totalsRowFunction="sum" dataDxfId="414" totalsRowDxfId="413" dataCellStyle="Comma"/>
    <tableColumn id="26" xr3:uid="{00000000-0010-0000-0900-00001A000000}" name="MSU" totalsRowFunction="sum" dataDxfId="412" totalsRowDxfId="411" dataCellStyle="Comma"/>
    <tableColumn id="27" xr3:uid="{00000000-0010-0000-0900-00001B000000}" name="NURSING 2000" totalsRowFunction="sum" dataDxfId="410" totalsRowDxfId="409" dataCellStyle="Comma"/>
    <tableColumn id="28" xr3:uid="{00000000-0010-0000-0900-00001C000000}" name="P E Global Healthcare" totalsRowFunction="sum" dataDxfId="408" totalsRowDxfId="407" dataCellStyle="Comma"/>
    <tableColumn id="29" xr3:uid="{00000000-0010-0000-0900-00001D000000}" name="PerTemps" totalsRowFunction="sum" dataDxfId="406" totalsRowDxfId="405" dataCellStyle="Comma"/>
    <tableColumn id="30" xr3:uid="{00000000-0010-0000-0900-00001E000000}" name="PSL RECRUITMENT" totalsRowFunction="custom" dataDxfId="404" totalsRowDxfId="403" dataCellStyle="Comma">
      <totalsRowFormula>SUBTOTAL(109,Table25[App Locum])</totalsRowFormula>
    </tableColumn>
    <tableColumn id="31" xr3:uid="{00000000-0010-0000-0900-00001F000000}" name="Pulse" totalsRowFunction="custom" dataDxfId="402" totalsRowDxfId="401" dataCellStyle="Comma">
      <totalsRowFormula>SUBTOTAL(109,Table25[Athona])</totalsRowFormula>
    </tableColumn>
    <tableColumn id="32" xr3:uid="{00000000-0010-0000-0900-000020000000}" name="Redspot Care Ltd" totalsRowFunction="custom" dataDxfId="400" totalsRowDxfId="399" dataCellStyle="Comma">
      <totalsRowFormula>SUBTOTAL(109,Table25[Beacon])</totalsRowFormula>
    </tableColumn>
    <tableColumn id="33" xr3:uid="{00000000-0010-0000-0900-000021000000}" name="Sanctuary" totalsRowFunction="custom" dataDxfId="398" totalsRowDxfId="397" dataCellStyle="Comma">
      <totalsRowFormula>SUBTOTAL(109,Table25[Biggs Healthcare])</totalsRowFormula>
    </tableColumn>
    <tableColumn id="34" xr3:uid="{00000000-0010-0000-0900-000022000000}" name="Sensible Staffing" totalsRowFunction="custom" dataDxfId="396" totalsRowDxfId="395" dataCellStyle="Comma">
      <totalsRowFormula>SUBTOTAL(109,Table25[Care Solutions])</totalsRowFormula>
    </tableColumn>
    <tableColumn id="35" xr3:uid="{00000000-0010-0000-0900-000023000000}" name="Service Care Solutions" totalsRowFunction="custom" dataDxfId="394" totalsRowDxfId="393" dataCellStyle="Comma">
      <totalsRowFormula>SUBTOTAL(109,Table25[CES Locums])</totalsRowFormula>
    </tableColumn>
    <tableColumn id="36" xr3:uid="{00000000-0010-0000-0900-000024000000}" name="Seven Resoucing" totalsRowFunction="custom" dataDxfId="392" totalsRowDxfId="391" dataCellStyle="Comma">
      <totalsRowFormula>SUBTOTAL(109,Table25[Chase Medical])</totalsRowFormula>
    </tableColumn>
    <tableColumn id="37" xr3:uid="{00000000-0010-0000-0900-000025000000}" name="Seven Social Care" totalsRowFunction="custom" dataDxfId="390" totalsRowDxfId="389" dataCellStyle="Comma">
      <totalsRowFormula>SUBTOTAL(109,Table25[Day Webster])</totalsRowFormula>
    </tableColumn>
    <tableColumn id="38" xr3:uid="{00000000-0010-0000-0900-000026000000}" name="TBC" totalsRowFunction="custom" dataDxfId="388" totalsRowDxfId="387" dataCellStyle="Comma">
      <totalsRowFormula>SUBTOTAL(109,Table25[DRC Locums])</totalsRowFormula>
    </tableColumn>
    <tableColumn id="39" xr3:uid="{00000000-0010-0000-0900-000027000000}" name="The London Teaching Pool" totalsRowFunction="custom" dataDxfId="386" totalsRowDxfId="385" dataCellStyle="Comma">
      <totalsRowFormula>SUBTOTAL(109,Table25[Enviva Care])</totalsRowFormula>
    </tableColumn>
    <tableColumn id="40" xr3:uid="{00000000-0010-0000-0900-000028000000}" name="Tripod" totalsRowFunction="custom" dataDxfId="384" totalsRowDxfId="383" dataCellStyle="Comma">
      <totalsRowFormula>SUBTOTAL(109,Table25[HCL])</totalsRowFormula>
    </tableColumn>
    <tableColumn id="41" xr3:uid="{00000000-0010-0000-0900-000029000000}" name="Unity Healthcare" totalsRowFunction="custom" dataDxfId="382" totalsRowDxfId="381" dataCellStyle="Comma">
      <totalsRowFormula>SUBTOTAL(109,Table25[Hourglass])</totalsRowFormula>
    </tableColumn>
    <tableColumn id="42" xr3:uid="{00000000-0010-0000-0900-00002A000000}" name="West Meria" totalsRowFunction="custom" dataDxfId="380" totalsRowDxfId="379" dataCellStyle="Comma">
      <totalsRowFormula>SUBTOTAL(109,Table25[Hunter Mental Health])</totalsRowFormula>
    </tableColumn>
    <tableColumn id="43" xr3:uid="{00000000-0010-0000-0900-00002B000000}" name="Your World" totalsRowFunction="custom" dataDxfId="378" totalsRowDxfId="377" dataCellStyle="Comma">
      <totalsRowFormula>SUBTOTAL(109,Table25[ID Medical])</totalsRowFormula>
    </tableColumn>
    <tableColumn id="44" xr3:uid="{00000000-0010-0000-0900-00002C000000}" name="Your World Healthcare" totalsRowFunction="custom" dataDxfId="376" totalsRowDxfId="375" dataCellStyle="Comma">
      <totalsRowFormula>SUBTOTAL(109,Table25[IMC LOCUMS])</totalsRowFormula>
    </tableColumn>
    <tableColumn id="45" xr3:uid="{00000000-0010-0000-0900-00002D000000}" name="Your World Nursing" totalsRowFunction="custom" dataDxfId="374" totalsRowDxfId="373" dataCellStyle="Comma">
      <totalsRowFormula>SUBTOTAL(109,Table25[Locummeds])</totalsRowFormula>
    </tableColumn>
    <tableColumn id="46" xr3:uid="{00000000-0010-0000-0900-00002E000000}" name="Your World Recruitment Ltd" totalsRowFunction="custom" dataDxfId="372" totalsRowDxfId="371" dataCellStyle="Comma">
      <totalsRowFormula>SUBTOTAL(109,Table25[Maxxima Ltd t/a Labmed Recruitment])</totalsRowFormula>
    </tableColumn>
    <tableColumn id="47" xr3:uid="{00000000-0010-0000-0900-00002F000000}" name="Grand Total" totalsRowFunction="custom" dataDxfId="370" totalsRowDxfId="369">
      <calculatedColumnFormula>SUM(A251:AU251)</calculatedColumnFormula>
      <totalsRowFormula>SUBTOTAL(109,Table25[Medicare Health Professional])</totalsRowFormula>
    </tableColumn>
  </tableColumns>
  <tableStyleInfo name="TableStyleLight2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A000000}" name="Table26" displayName="Table26" ref="B220:AV248" totalsRowCount="1" headerRowDxfId="368" dataDxfId="366" headerRowBorderDxfId="367">
  <autoFilter ref="B220:AV247" xr:uid="{00000000-0009-0000-0100-00001A000000}"/>
  <tableColumns count="47">
    <tableColumn id="1" xr3:uid="{00000000-0010-0000-0A00-000001000000}" name="Row Labels" totalsRowLabel="Total" dataDxfId="365" totalsRowDxfId="364" dataCellStyle="Comma"/>
    <tableColumn id="2" xr3:uid="{00000000-0010-0000-0A00-000002000000}" name="3D Recruitment" totalsRowFunction="sum" dataDxfId="363" totalsRowDxfId="362" dataCellStyle="Comma"/>
    <tableColumn id="3" xr3:uid="{00000000-0010-0000-0A00-000003000000}" name="App Locum" totalsRowFunction="sum" dataDxfId="361" totalsRowDxfId="360" dataCellStyle="Comma"/>
    <tableColumn id="4" xr3:uid="{00000000-0010-0000-0A00-000004000000}" name="Athona" totalsRowFunction="sum" dataDxfId="359" totalsRowDxfId="358" dataCellStyle="Comma"/>
    <tableColumn id="5" xr3:uid="{00000000-0010-0000-0A00-000005000000}" name="Beacon" totalsRowFunction="sum" dataDxfId="357" totalsRowDxfId="356" dataCellStyle="Comma"/>
    <tableColumn id="6" xr3:uid="{00000000-0010-0000-0A00-000006000000}" name="Biggs Healthcare" totalsRowFunction="sum" dataDxfId="355" totalsRowDxfId="354" dataCellStyle="Comma"/>
    <tableColumn id="7" xr3:uid="{00000000-0010-0000-0A00-000007000000}" name="Care Solutions" totalsRowFunction="sum" dataDxfId="353" totalsRowDxfId="352" dataCellStyle="Comma"/>
    <tableColumn id="8" xr3:uid="{00000000-0010-0000-0A00-000008000000}" name="CES Locums" totalsRowFunction="sum" dataDxfId="351" totalsRowDxfId="350" dataCellStyle="Comma"/>
    <tableColumn id="9" xr3:uid="{00000000-0010-0000-0A00-000009000000}" name="Chase Medical" totalsRowFunction="sum" dataDxfId="349" totalsRowDxfId="348" dataCellStyle="Comma"/>
    <tableColumn id="10" xr3:uid="{00000000-0010-0000-0A00-00000A000000}" name="Day Webster" totalsRowFunction="sum" dataDxfId="347" totalsRowDxfId="346" dataCellStyle="Comma"/>
    <tableColumn id="11" xr3:uid="{00000000-0010-0000-0A00-00000B000000}" name="DRC Locums" totalsRowFunction="sum" dataDxfId="345" totalsRowDxfId="344" dataCellStyle="Comma"/>
    <tableColumn id="12" xr3:uid="{00000000-0010-0000-0A00-00000C000000}" name="Enviva Care" totalsRowFunction="sum" dataDxfId="343" totalsRowDxfId="342" dataCellStyle="Comma"/>
    <tableColumn id="13" xr3:uid="{00000000-0010-0000-0A00-00000D000000}" name="HCL" totalsRowFunction="sum" dataDxfId="341" totalsRowDxfId="340" dataCellStyle="Comma"/>
    <tableColumn id="14" xr3:uid="{00000000-0010-0000-0A00-00000E000000}" name="Hourglass" totalsRowFunction="sum" dataDxfId="339" totalsRowDxfId="338" dataCellStyle="Comma"/>
    <tableColumn id="15" xr3:uid="{00000000-0010-0000-0A00-00000F000000}" name="Hunter Mental Health" totalsRowFunction="sum" dataDxfId="337" totalsRowDxfId="336" dataCellStyle="Comma"/>
    <tableColumn id="16" xr3:uid="{00000000-0010-0000-0A00-000010000000}" name="ID Medical" totalsRowFunction="sum" dataDxfId="335" totalsRowDxfId="334" dataCellStyle="Comma"/>
    <tableColumn id="17" xr3:uid="{00000000-0010-0000-0A00-000011000000}" name="IMC LOCUMS" totalsRowFunction="sum" dataDxfId="333" totalsRowDxfId="332" dataCellStyle="Comma"/>
    <tableColumn id="18" xr3:uid="{00000000-0010-0000-0A00-000012000000}" name="Locummeds" totalsRowFunction="sum" dataDxfId="331" totalsRowDxfId="330" dataCellStyle="Comma"/>
    <tableColumn id="19" xr3:uid="{00000000-0010-0000-0A00-000013000000}" name="Maxxima Ltd t/a Labmed Recruitment" totalsRowFunction="sum" dataDxfId="329" totalsRowDxfId="328" dataCellStyle="Comma"/>
    <tableColumn id="20" xr3:uid="{00000000-0010-0000-0A00-000014000000}" name="Medicare Health Professional" totalsRowFunction="sum" dataDxfId="327" totalsRowDxfId="326" dataCellStyle="Comma"/>
    <tableColumn id="21" xr3:uid="{00000000-0010-0000-0A00-000015000000}" name="Medicure Professional LTD" totalsRowFunction="sum" dataDxfId="325" totalsRowDxfId="324" dataCellStyle="Comma"/>
    <tableColumn id="22" xr3:uid="{00000000-0010-0000-0A00-000016000000}" name="Medilink" totalsRowFunction="sum" dataDxfId="323" totalsRowDxfId="322" dataCellStyle="Comma"/>
    <tableColumn id="23" xr3:uid="{00000000-0010-0000-0A00-000017000000}" name="Medsol Healthcare Services Ltd" totalsRowFunction="sum" dataDxfId="321" totalsRowDxfId="320" dataCellStyle="Comma"/>
    <tableColumn id="24" xr3:uid="{00000000-0010-0000-0A00-000018000000}" name="MHP" totalsRowFunction="sum" dataDxfId="319" totalsRowDxfId="318" dataCellStyle="Comma"/>
    <tableColumn id="25" xr3:uid="{00000000-0010-0000-0A00-000019000000}" name="MSI Recruitment" totalsRowFunction="sum" dataDxfId="317" totalsRowDxfId="316" dataCellStyle="Comma"/>
    <tableColumn id="26" xr3:uid="{00000000-0010-0000-0A00-00001A000000}" name="MSU" totalsRowFunction="sum" dataDxfId="315" totalsRowDxfId="314" dataCellStyle="Comma"/>
    <tableColumn id="27" xr3:uid="{00000000-0010-0000-0A00-00001B000000}" name="NURSING 2000" totalsRowFunction="sum" dataDxfId="313" totalsRowDxfId="312" dataCellStyle="Comma"/>
    <tableColumn id="28" xr3:uid="{00000000-0010-0000-0A00-00001C000000}" name="P E Global Healthcare" totalsRowFunction="sum" dataDxfId="311" totalsRowDxfId="310" dataCellStyle="Comma"/>
    <tableColumn id="29" xr3:uid="{00000000-0010-0000-0A00-00001D000000}" name="PerTemps" totalsRowFunction="sum" dataDxfId="309" totalsRowDxfId="308" dataCellStyle="Comma"/>
    <tableColumn id="30" xr3:uid="{00000000-0010-0000-0A00-00001E000000}" name="PSL RECRUITMENT" totalsRowFunction="sum" dataDxfId="307" totalsRowDxfId="306" dataCellStyle="Comma"/>
    <tableColumn id="31" xr3:uid="{00000000-0010-0000-0A00-00001F000000}" name="Pulse" totalsRowFunction="sum" dataDxfId="305" totalsRowDxfId="304" dataCellStyle="Comma"/>
    <tableColumn id="32" xr3:uid="{00000000-0010-0000-0A00-000020000000}" name="Redspot Care Ltd" totalsRowFunction="sum" dataDxfId="303" totalsRowDxfId="302" dataCellStyle="Comma"/>
    <tableColumn id="33" xr3:uid="{00000000-0010-0000-0A00-000021000000}" name="Sanctuary" totalsRowFunction="sum" dataDxfId="301" totalsRowDxfId="300" dataCellStyle="Comma"/>
    <tableColumn id="34" xr3:uid="{00000000-0010-0000-0A00-000022000000}" name="Sensible Staffing" totalsRowFunction="sum" dataDxfId="299" totalsRowDxfId="298" dataCellStyle="Comma"/>
    <tableColumn id="35" xr3:uid="{00000000-0010-0000-0A00-000023000000}" name="Service Care Solutions" totalsRowFunction="sum" dataDxfId="297" totalsRowDxfId="296" dataCellStyle="Comma"/>
    <tableColumn id="36" xr3:uid="{00000000-0010-0000-0A00-000024000000}" name="Seven Resoucing" totalsRowFunction="sum" dataDxfId="295" totalsRowDxfId="294" dataCellStyle="Comma"/>
    <tableColumn id="37" xr3:uid="{00000000-0010-0000-0A00-000025000000}" name="Seven Social Care" totalsRowFunction="sum" dataDxfId="293" totalsRowDxfId="292" dataCellStyle="Comma"/>
    <tableColumn id="38" xr3:uid="{00000000-0010-0000-0A00-000026000000}" name="TBC" totalsRowFunction="sum" dataDxfId="291" totalsRowDxfId="290" dataCellStyle="Comma"/>
    <tableColumn id="39" xr3:uid="{00000000-0010-0000-0A00-000027000000}" name="The London Teaching Pool" totalsRowFunction="sum" dataDxfId="289" totalsRowDxfId="288" dataCellStyle="Comma"/>
    <tableColumn id="40" xr3:uid="{00000000-0010-0000-0A00-000028000000}" name="Tripod" totalsRowFunction="sum" dataDxfId="287" totalsRowDxfId="286" dataCellStyle="Comma"/>
    <tableColumn id="41" xr3:uid="{00000000-0010-0000-0A00-000029000000}" name="Unity Healthcare" totalsRowFunction="sum" dataDxfId="285" totalsRowDxfId="284" dataCellStyle="Comma"/>
    <tableColumn id="42" xr3:uid="{00000000-0010-0000-0A00-00002A000000}" name="West Meria" totalsRowFunction="sum" dataDxfId="283" totalsRowDxfId="282" dataCellStyle="Comma"/>
    <tableColumn id="43" xr3:uid="{00000000-0010-0000-0A00-00002B000000}" name="Your World" totalsRowFunction="sum" dataDxfId="281" totalsRowDxfId="280" dataCellStyle="Comma"/>
    <tableColumn id="44" xr3:uid="{00000000-0010-0000-0A00-00002C000000}" name="Your World Healthcare" totalsRowFunction="sum" dataDxfId="279" totalsRowDxfId="278" dataCellStyle="Comma"/>
    <tableColumn id="45" xr3:uid="{00000000-0010-0000-0A00-00002D000000}" name="Your World Nursing" totalsRowFunction="sum" dataDxfId="277" totalsRowDxfId="276" dataCellStyle="Comma"/>
    <tableColumn id="46" xr3:uid="{00000000-0010-0000-0A00-00002E000000}" name="Your World Recruitment Ltd" totalsRowFunction="sum" dataDxfId="275" totalsRowDxfId="274" dataCellStyle="Comma"/>
    <tableColumn id="47" xr3:uid="{00000000-0010-0000-0A00-00002F000000}" name="Grand Total" totalsRowFunction="sum" dataDxfId="273" totalsRowDxfId="272" dataCellStyle="Comma">
      <calculatedColumnFormula>SUM(A221:AU221)</calculatedColumnFormula>
    </tableColumn>
  </tableColumns>
  <tableStyleInfo name="TableStyleLight2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B000000}" name="Table27" displayName="Table27" ref="B204:AV218" totalsRowCount="1" headerRowDxfId="271" dataDxfId="269" headerRowBorderDxfId="270">
  <autoFilter ref="B204:AV217" xr:uid="{00000000-0009-0000-0100-00001B000000}"/>
  <tableColumns count="47">
    <tableColumn id="1" xr3:uid="{00000000-0010-0000-0B00-000001000000}" name="Row Labels" totalsRowLabel="Total" dataDxfId="268" totalsRowDxfId="267" dataCellStyle="Comma"/>
    <tableColumn id="2" xr3:uid="{00000000-0010-0000-0B00-000002000000}" name="3D Recruitment" totalsRowFunction="sum" dataDxfId="266" totalsRowDxfId="265" dataCellStyle="Comma"/>
    <tableColumn id="3" xr3:uid="{00000000-0010-0000-0B00-000003000000}" name="App Locum" totalsRowFunction="sum" dataDxfId="264" totalsRowDxfId="263" dataCellStyle="Comma"/>
    <tableColumn id="4" xr3:uid="{00000000-0010-0000-0B00-000004000000}" name="Athona" totalsRowFunction="sum" dataDxfId="262" totalsRowDxfId="261" dataCellStyle="Comma"/>
    <tableColumn id="5" xr3:uid="{00000000-0010-0000-0B00-000005000000}" name="Beacon" totalsRowFunction="sum" dataDxfId="260" totalsRowDxfId="259" dataCellStyle="Comma"/>
    <tableColumn id="6" xr3:uid="{00000000-0010-0000-0B00-000006000000}" name="Biggs Healthcare" totalsRowFunction="sum" dataDxfId="258" totalsRowDxfId="257" dataCellStyle="Comma"/>
    <tableColumn id="7" xr3:uid="{00000000-0010-0000-0B00-000007000000}" name="Care Solutions" totalsRowFunction="sum" dataDxfId="256" totalsRowDxfId="255" dataCellStyle="Comma"/>
    <tableColumn id="8" xr3:uid="{00000000-0010-0000-0B00-000008000000}" name="CES Locums" totalsRowFunction="sum" dataDxfId="254" totalsRowDxfId="253" dataCellStyle="Comma"/>
    <tableColumn id="9" xr3:uid="{00000000-0010-0000-0B00-000009000000}" name="Chase Medical" totalsRowFunction="sum" dataDxfId="252" totalsRowDxfId="251" dataCellStyle="Comma"/>
    <tableColumn id="10" xr3:uid="{00000000-0010-0000-0B00-00000A000000}" name="Day Webster" totalsRowFunction="sum" dataDxfId="250" totalsRowDxfId="249" dataCellStyle="Comma"/>
    <tableColumn id="11" xr3:uid="{00000000-0010-0000-0B00-00000B000000}" name="DRC Locums" totalsRowFunction="sum" dataDxfId="248" totalsRowDxfId="247" dataCellStyle="Comma"/>
    <tableColumn id="12" xr3:uid="{00000000-0010-0000-0B00-00000C000000}" name="Enviva Care" totalsRowFunction="sum" dataDxfId="246" totalsRowDxfId="245" dataCellStyle="Comma"/>
    <tableColumn id="13" xr3:uid="{00000000-0010-0000-0B00-00000D000000}" name="HCL" totalsRowFunction="sum" dataDxfId="244" totalsRowDxfId="243" dataCellStyle="Comma"/>
    <tableColumn id="14" xr3:uid="{00000000-0010-0000-0B00-00000E000000}" name="Hourglass" totalsRowFunction="sum" dataDxfId="242" totalsRowDxfId="241" dataCellStyle="Comma"/>
    <tableColumn id="15" xr3:uid="{00000000-0010-0000-0B00-00000F000000}" name="Hunter Mental Health" totalsRowFunction="sum" dataDxfId="240" totalsRowDxfId="239" dataCellStyle="Comma"/>
    <tableColumn id="16" xr3:uid="{00000000-0010-0000-0B00-000010000000}" name="ID Medical" totalsRowFunction="sum" dataDxfId="238" totalsRowDxfId="237" dataCellStyle="Comma"/>
    <tableColumn id="17" xr3:uid="{00000000-0010-0000-0B00-000011000000}" name="IMC LOCUMS" totalsRowFunction="sum" dataDxfId="236" totalsRowDxfId="235" dataCellStyle="Comma"/>
    <tableColumn id="18" xr3:uid="{00000000-0010-0000-0B00-000012000000}" name="Locummeds" totalsRowFunction="sum" dataDxfId="234" totalsRowDxfId="233" dataCellStyle="Comma"/>
    <tableColumn id="19" xr3:uid="{00000000-0010-0000-0B00-000013000000}" name="Maxxima Ltd t/a Labmed Recruitment" totalsRowFunction="sum" dataDxfId="232" totalsRowDxfId="231" dataCellStyle="Comma"/>
    <tableColumn id="20" xr3:uid="{00000000-0010-0000-0B00-000014000000}" name="Medicare Health Professional" totalsRowFunction="sum" dataDxfId="230" totalsRowDxfId="229" dataCellStyle="Comma"/>
    <tableColumn id="21" xr3:uid="{00000000-0010-0000-0B00-000015000000}" name="Medicure Professional LTD" totalsRowFunction="sum" dataDxfId="228" totalsRowDxfId="227" dataCellStyle="Comma"/>
    <tableColumn id="22" xr3:uid="{00000000-0010-0000-0B00-000016000000}" name="Medilink" totalsRowFunction="sum" dataDxfId="226" totalsRowDxfId="225" dataCellStyle="Comma"/>
    <tableColumn id="23" xr3:uid="{00000000-0010-0000-0B00-000017000000}" name="Medsol Healthcare Services Ltd" totalsRowFunction="sum" dataDxfId="224" totalsRowDxfId="223" dataCellStyle="Comma"/>
    <tableColumn id="24" xr3:uid="{00000000-0010-0000-0B00-000018000000}" name="MHP" totalsRowFunction="sum" dataDxfId="222" totalsRowDxfId="221" dataCellStyle="Comma"/>
    <tableColumn id="25" xr3:uid="{00000000-0010-0000-0B00-000019000000}" name="MSI Recruitment" totalsRowFunction="sum" dataDxfId="220" totalsRowDxfId="219" dataCellStyle="Comma"/>
    <tableColumn id="26" xr3:uid="{00000000-0010-0000-0B00-00001A000000}" name="MSU" totalsRowFunction="sum" dataDxfId="218" totalsRowDxfId="217" dataCellStyle="Comma"/>
    <tableColumn id="27" xr3:uid="{00000000-0010-0000-0B00-00001B000000}" name="NURSING 2000" totalsRowFunction="sum" dataDxfId="216" totalsRowDxfId="215" dataCellStyle="Comma"/>
    <tableColumn id="28" xr3:uid="{00000000-0010-0000-0B00-00001C000000}" name="P E Global Healthcare" totalsRowFunction="sum" dataDxfId="214" totalsRowDxfId="213" dataCellStyle="Comma"/>
    <tableColumn id="29" xr3:uid="{00000000-0010-0000-0B00-00001D000000}" name="PerTemps" totalsRowFunction="sum" dataDxfId="212" totalsRowDxfId="211" dataCellStyle="Comma"/>
    <tableColumn id="30" xr3:uid="{00000000-0010-0000-0B00-00001E000000}" name="PSL RECRUITMENT" totalsRowFunction="sum" dataDxfId="210" totalsRowDxfId="209" dataCellStyle="Comma"/>
    <tableColumn id="31" xr3:uid="{00000000-0010-0000-0B00-00001F000000}" name="Pulse" totalsRowFunction="sum" dataDxfId="208" totalsRowDxfId="207" dataCellStyle="Comma"/>
    <tableColumn id="32" xr3:uid="{00000000-0010-0000-0B00-000020000000}" name="Redspot Care Ltd" totalsRowFunction="sum" dataDxfId="206" totalsRowDxfId="205" dataCellStyle="Comma"/>
    <tableColumn id="33" xr3:uid="{00000000-0010-0000-0B00-000021000000}" name="Sanctuary" totalsRowFunction="sum" dataDxfId="204" totalsRowDxfId="203" dataCellStyle="Comma"/>
    <tableColumn id="34" xr3:uid="{00000000-0010-0000-0B00-000022000000}" name="Sensible Staffing" totalsRowFunction="sum" dataDxfId="202" totalsRowDxfId="201" dataCellStyle="Comma"/>
    <tableColumn id="35" xr3:uid="{00000000-0010-0000-0B00-000023000000}" name="Service Care Solutions" totalsRowFunction="sum" dataDxfId="200" totalsRowDxfId="199" dataCellStyle="Comma"/>
    <tableColumn id="36" xr3:uid="{00000000-0010-0000-0B00-000024000000}" name="Seven Resoucing" totalsRowFunction="sum" dataDxfId="198" totalsRowDxfId="197" dataCellStyle="Comma"/>
    <tableColumn id="37" xr3:uid="{00000000-0010-0000-0B00-000025000000}" name="Seven Social Care" totalsRowFunction="sum" dataDxfId="196" totalsRowDxfId="195" dataCellStyle="Comma"/>
    <tableColumn id="38" xr3:uid="{00000000-0010-0000-0B00-000026000000}" name="TBC" totalsRowFunction="sum" dataDxfId="194" totalsRowDxfId="193" dataCellStyle="Comma"/>
    <tableColumn id="39" xr3:uid="{00000000-0010-0000-0B00-000027000000}" name="The London Teaching Pool" totalsRowFunction="sum" dataDxfId="192" totalsRowDxfId="191" dataCellStyle="Comma"/>
    <tableColumn id="40" xr3:uid="{00000000-0010-0000-0B00-000028000000}" name="Tripod" totalsRowFunction="sum" dataDxfId="190" totalsRowDxfId="189" dataCellStyle="Comma"/>
    <tableColumn id="41" xr3:uid="{00000000-0010-0000-0B00-000029000000}" name="Unity Healthcare" totalsRowFunction="sum" dataDxfId="188" totalsRowDxfId="187" dataCellStyle="Comma"/>
    <tableColumn id="42" xr3:uid="{00000000-0010-0000-0B00-00002A000000}" name="West Meria" totalsRowFunction="sum" dataDxfId="186" totalsRowDxfId="185" dataCellStyle="Comma"/>
    <tableColumn id="43" xr3:uid="{00000000-0010-0000-0B00-00002B000000}" name="Your World" totalsRowFunction="sum" dataDxfId="184" totalsRowDxfId="183" dataCellStyle="Comma"/>
    <tableColumn id="44" xr3:uid="{00000000-0010-0000-0B00-00002C000000}" name="Your World Healthcare" totalsRowFunction="sum" dataDxfId="182" totalsRowDxfId="181" dataCellStyle="Comma"/>
    <tableColumn id="45" xr3:uid="{00000000-0010-0000-0B00-00002D000000}" name="Your World Nursing" totalsRowFunction="sum" dataDxfId="180" totalsRowDxfId="179" dataCellStyle="Comma"/>
    <tableColumn id="46" xr3:uid="{00000000-0010-0000-0B00-00002E000000}" name="Your World Recruitment Ltd" totalsRowFunction="sum" dataDxfId="178" totalsRowDxfId="177" dataCellStyle="Comma"/>
    <tableColumn id="47" xr3:uid="{00000000-0010-0000-0B00-00002F000000}" name="Grand Total" totalsRowFunction="sum" dataDxfId="176" totalsRowDxfId="175">
      <calculatedColumnFormula>SUM(A205:AU205)</calculatedColumnFormula>
    </tableColumn>
  </tableColumns>
  <tableStyleInfo name="TableStyleLight2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C000000}" name="Table28" displayName="Table28" ref="B194:AV202" totalsRowCount="1" headerRowDxfId="174" dataDxfId="172" headerRowBorderDxfId="173">
  <autoFilter ref="B194:AV201" xr:uid="{00000000-0009-0000-0100-00001C000000}"/>
  <tableColumns count="47">
    <tableColumn id="1" xr3:uid="{00000000-0010-0000-0C00-000001000000}" name="Row Labels" totalsRowLabel="Total" dataDxfId="171" totalsRowDxfId="170" dataCellStyle="Comma"/>
    <tableColumn id="2" xr3:uid="{00000000-0010-0000-0C00-000002000000}" name="3D Recruitment" totalsRowFunction="sum" dataDxfId="169" totalsRowDxfId="168" dataCellStyle="Comma"/>
    <tableColumn id="3" xr3:uid="{00000000-0010-0000-0C00-000003000000}" name="App Locum" totalsRowFunction="sum" dataDxfId="167" totalsRowDxfId="166" dataCellStyle="Comma"/>
    <tableColumn id="4" xr3:uid="{00000000-0010-0000-0C00-000004000000}" name="Athona" totalsRowFunction="sum" dataDxfId="165" totalsRowDxfId="164" dataCellStyle="Comma"/>
    <tableColumn id="5" xr3:uid="{00000000-0010-0000-0C00-000005000000}" name="Beacon" totalsRowFunction="sum" dataDxfId="163" totalsRowDxfId="162" dataCellStyle="Comma"/>
    <tableColumn id="6" xr3:uid="{00000000-0010-0000-0C00-000006000000}" name="Biggs Healthcare" totalsRowFunction="sum" dataDxfId="161" totalsRowDxfId="160" dataCellStyle="Comma"/>
    <tableColumn id="7" xr3:uid="{00000000-0010-0000-0C00-000007000000}" name="Care Solutions" totalsRowFunction="sum" dataDxfId="159" totalsRowDxfId="158" dataCellStyle="Comma"/>
    <tableColumn id="8" xr3:uid="{00000000-0010-0000-0C00-000008000000}" name="CES Locums" totalsRowFunction="sum" dataDxfId="157" totalsRowDxfId="156" dataCellStyle="Comma"/>
    <tableColumn id="9" xr3:uid="{00000000-0010-0000-0C00-000009000000}" name="Chase Medical" totalsRowFunction="sum" dataDxfId="155" totalsRowDxfId="154" dataCellStyle="Comma"/>
    <tableColumn id="10" xr3:uid="{00000000-0010-0000-0C00-00000A000000}" name="Day Webster" totalsRowFunction="sum" dataDxfId="153" totalsRowDxfId="152" dataCellStyle="Comma"/>
    <tableColumn id="11" xr3:uid="{00000000-0010-0000-0C00-00000B000000}" name="DRC Locums" totalsRowFunction="sum" dataDxfId="151" totalsRowDxfId="150" dataCellStyle="Comma"/>
    <tableColumn id="12" xr3:uid="{00000000-0010-0000-0C00-00000C000000}" name="Enviva Care" totalsRowFunction="sum" dataDxfId="149" totalsRowDxfId="148" dataCellStyle="Comma"/>
    <tableColumn id="13" xr3:uid="{00000000-0010-0000-0C00-00000D000000}" name="HCL" totalsRowFunction="sum" dataDxfId="147" totalsRowDxfId="146" dataCellStyle="Comma"/>
    <tableColumn id="14" xr3:uid="{00000000-0010-0000-0C00-00000E000000}" name="Hourglass" totalsRowFunction="sum" dataDxfId="145" totalsRowDxfId="144" dataCellStyle="Comma"/>
    <tableColumn id="15" xr3:uid="{00000000-0010-0000-0C00-00000F000000}" name="Hunter Mental Health" totalsRowFunction="sum" dataDxfId="143" totalsRowDxfId="142" dataCellStyle="Comma"/>
    <tableColumn id="16" xr3:uid="{00000000-0010-0000-0C00-000010000000}" name="ID Medical" totalsRowFunction="sum" dataDxfId="141" totalsRowDxfId="140" dataCellStyle="Comma"/>
    <tableColumn id="17" xr3:uid="{00000000-0010-0000-0C00-000011000000}" name="IMC LOCUMS" totalsRowFunction="sum" dataDxfId="139" totalsRowDxfId="138" dataCellStyle="Comma"/>
    <tableColumn id="18" xr3:uid="{00000000-0010-0000-0C00-000012000000}" name="Locummeds" totalsRowFunction="sum" dataDxfId="137" totalsRowDxfId="136" dataCellStyle="Comma"/>
    <tableColumn id="19" xr3:uid="{00000000-0010-0000-0C00-000013000000}" name="Maxxima Ltd t/a Labmed Recruitment" totalsRowFunction="sum" dataDxfId="135" totalsRowDxfId="134" dataCellStyle="Comma"/>
    <tableColumn id="20" xr3:uid="{00000000-0010-0000-0C00-000014000000}" name="Medicare Health Professional" totalsRowFunction="sum" dataDxfId="133" totalsRowDxfId="132" dataCellStyle="Comma"/>
    <tableColumn id="21" xr3:uid="{00000000-0010-0000-0C00-000015000000}" name="Medicure Professional LTD" totalsRowFunction="sum" dataDxfId="131" totalsRowDxfId="130" dataCellStyle="Comma"/>
    <tableColumn id="22" xr3:uid="{00000000-0010-0000-0C00-000016000000}" name="Medilink" totalsRowFunction="sum" dataDxfId="129" totalsRowDxfId="128" dataCellStyle="Comma"/>
    <tableColumn id="23" xr3:uid="{00000000-0010-0000-0C00-000017000000}" name="Medsol Healthcare Services Ltd" totalsRowFunction="sum" dataDxfId="127" totalsRowDxfId="126" dataCellStyle="Comma"/>
    <tableColumn id="24" xr3:uid="{00000000-0010-0000-0C00-000018000000}" name="MHP" totalsRowFunction="sum" dataDxfId="125" totalsRowDxfId="124" dataCellStyle="Comma"/>
    <tableColumn id="25" xr3:uid="{00000000-0010-0000-0C00-000019000000}" name="MSI Recruitment" totalsRowFunction="sum" dataDxfId="123" totalsRowDxfId="122" dataCellStyle="Comma"/>
    <tableColumn id="26" xr3:uid="{00000000-0010-0000-0C00-00001A000000}" name="MSU" totalsRowFunction="sum" dataDxfId="121" totalsRowDxfId="120" dataCellStyle="Comma"/>
    <tableColumn id="27" xr3:uid="{00000000-0010-0000-0C00-00001B000000}" name="NURSING 2000" totalsRowFunction="sum" dataDxfId="119" totalsRowDxfId="118" dataCellStyle="Comma"/>
    <tableColumn id="28" xr3:uid="{00000000-0010-0000-0C00-00001C000000}" name="P E Global Healthcare" totalsRowFunction="sum" dataDxfId="117" totalsRowDxfId="116" dataCellStyle="Comma"/>
    <tableColumn id="29" xr3:uid="{00000000-0010-0000-0C00-00001D000000}" name="PerTemps" totalsRowFunction="sum" dataDxfId="115" totalsRowDxfId="114" dataCellStyle="Comma"/>
    <tableColumn id="30" xr3:uid="{00000000-0010-0000-0C00-00001E000000}" name="PSL RECRUITMENT" totalsRowFunction="sum" dataDxfId="113" totalsRowDxfId="112" dataCellStyle="Comma"/>
    <tableColumn id="31" xr3:uid="{00000000-0010-0000-0C00-00001F000000}" name="Pulse" totalsRowFunction="sum" dataDxfId="111" totalsRowDxfId="110" dataCellStyle="Comma"/>
    <tableColumn id="32" xr3:uid="{00000000-0010-0000-0C00-000020000000}" name="Redspot Care Ltd" totalsRowFunction="sum" dataDxfId="109" totalsRowDxfId="108" dataCellStyle="Comma"/>
    <tableColumn id="33" xr3:uid="{00000000-0010-0000-0C00-000021000000}" name="Sanctuary" totalsRowFunction="sum" dataDxfId="107" totalsRowDxfId="106" dataCellStyle="Comma"/>
    <tableColumn id="34" xr3:uid="{00000000-0010-0000-0C00-000022000000}" name="Sensible Staffing" totalsRowFunction="sum" dataDxfId="105" totalsRowDxfId="104" dataCellStyle="Comma"/>
    <tableColumn id="35" xr3:uid="{00000000-0010-0000-0C00-000023000000}" name="Service Care Solutions" totalsRowFunction="sum" dataDxfId="103" totalsRowDxfId="102" dataCellStyle="Comma"/>
    <tableColumn id="36" xr3:uid="{00000000-0010-0000-0C00-000024000000}" name="Seven Resoucing" totalsRowFunction="sum" dataDxfId="101" totalsRowDxfId="100" dataCellStyle="Comma"/>
    <tableColumn id="37" xr3:uid="{00000000-0010-0000-0C00-000025000000}" name="Seven Social Care" totalsRowFunction="sum" dataDxfId="99" totalsRowDxfId="98" dataCellStyle="Comma"/>
    <tableColumn id="38" xr3:uid="{00000000-0010-0000-0C00-000026000000}" name="TBC" totalsRowFunction="sum" dataDxfId="97" totalsRowDxfId="96" dataCellStyle="Comma"/>
    <tableColumn id="39" xr3:uid="{00000000-0010-0000-0C00-000027000000}" name="The London Teaching Pool" totalsRowFunction="sum" dataDxfId="95" totalsRowDxfId="94" dataCellStyle="Comma"/>
    <tableColumn id="40" xr3:uid="{00000000-0010-0000-0C00-000028000000}" name="Tripod" totalsRowFunction="sum" dataDxfId="93" totalsRowDxfId="92" dataCellStyle="Comma"/>
    <tableColumn id="41" xr3:uid="{00000000-0010-0000-0C00-000029000000}" name="Unity Healthcare" totalsRowFunction="sum" dataDxfId="91" totalsRowDxfId="90" dataCellStyle="Comma"/>
    <tableColumn id="42" xr3:uid="{00000000-0010-0000-0C00-00002A000000}" name="West Meria" totalsRowFunction="sum" dataDxfId="89" totalsRowDxfId="88" dataCellStyle="Comma"/>
    <tableColumn id="43" xr3:uid="{00000000-0010-0000-0C00-00002B000000}" name="Your World" totalsRowFunction="sum" dataDxfId="87" totalsRowDxfId="86" dataCellStyle="Comma"/>
    <tableColumn id="44" xr3:uid="{00000000-0010-0000-0C00-00002C000000}" name="Your World Healthcare" totalsRowFunction="sum" dataDxfId="85" totalsRowDxfId="84" dataCellStyle="Comma"/>
    <tableColumn id="45" xr3:uid="{00000000-0010-0000-0C00-00002D000000}" name="Your World Nursing" totalsRowFunction="sum" dataDxfId="83" totalsRowDxfId="82" dataCellStyle="Comma"/>
    <tableColumn id="46" xr3:uid="{00000000-0010-0000-0C00-00002E000000}" name="Your World Recruitment Ltd" totalsRowFunction="sum" dataDxfId="81" totalsRowDxfId="80" dataCellStyle="Comma"/>
    <tableColumn id="47" xr3:uid="{00000000-0010-0000-0C00-00002F000000}" name="Grand Total" totalsRowFunction="sum" dataDxfId="79" totalsRowDxfId="78">
      <calculatedColumnFormula>SUM(A195:AU195)</calculatedColumnFormula>
    </tableColumn>
  </tableColumns>
  <tableStyleInfo name="TableStyleLight2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D000000}" name="Table4" displayName="Table4" ref="C3:J12" totalsRowShown="0" headerRowDxfId="77">
  <autoFilter ref="C3:J12" xr:uid="{00000000-0009-0000-0100-000001000000}"/>
  <tableColumns count="8">
    <tableColumn id="1" xr3:uid="{00000000-0010-0000-0D00-000001000000}" name="Role"/>
    <tableColumn id="2" xr3:uid="{00000000-0010-0000-0D00-000002000000}" name="Archer Resourcing" dataDxfId="76"/>
    <tableColumn id="3" xr3:uid="{00000000-0010-0000-0D00-000003000000}" name=" Infermiera Health Care" dataDxfId="75"/>
    <tableColumn id="4" xr3:uid="{00000000-0010-0000-0D00-000004000000}" name="Locum Meds" dataDxfId="74"/>
    <tableColumn id="5" xr3:uid="{00000000-0010-0000-0D00-000005000000}" name="Premium Staffing" dataDxfId="73"/>
    <tableColumn id="6" xr3:uid="{00000000-0010-0000-0D00-000006000000}" name="Priority Nursing" dataDxfId="72"/>
    <tableColumn id="7" xr3:uid="{00000000-0010-0000-0D00-000007000000}" name="Workforce Solutions" dataDxfId="71"/>
    <tableColumn id="8" xr3:uid="{00000000-0010-0000-0D00-000008000000}" name="Grand Total" dataDxfId="70" dataCellStyle="Comma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E000000}" name="Table5" displayName="Table5" ref="C14:J23" totalsRowShown="0" headerRowDxfId="69">
  <autoFilter ref="C14:J23" xr:uid="{00000000-0009-0000-0100-000002000000}"/>
  <tableColumns count="8">
    <tableColumn id="1" xr3:uid="{00000000-0010-0000-0E00-000001000000}" name="Role"/>
    <tableColumn id="2" xr3:uid="{00000000-0010-0000-0E00-000002000000}" name="Archer Resourcing" dataCellStyle="Comma"/>
    <tableColumn id="3" xr3:uid="{00000000-0010-0000-0E00-000003000000}" name=" Infermiera Health Care" dataCellStyle="Comma"/>
    <tableColumn id="4" xr3:uid="{00000000-0010-0000-0E00-000004000000}" name="Locum Meds" dataCellStyle="Comma"/>
    <tableColumn id="5" xr3:uid="{00000000-0010-0000-0E00-000005000000}" name="Premium Staffing" dataCellStyle="Comma"/>
    <tableColumn id="6" xr3:uid="{00000000-0010-0000-0E00-000006000000}" name="Priority Nursing" dataCellStyle="Comma"/>
    <tableColumn id="7" xr3:uid="{00000000-0010-0000-0E00-000007000000}" name="Workforce Solutions" dataCellStyle="Comma"/>
    <tableColumn id="8" xr3:uid="{00000000-0010-0000-0E00-000008000000}" name="Grand Total" dataDxfId="68" dataCellStyle="Comma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F000000}" name="Table6" displayName="Table6" ref="C25:J39" totalsRowShown="0" headerRowDxfId="67">
  <autoFilter ref="C25:J39" xr:uid="{00000000-0009-0000-0100-000003000000}"/>
  <tableColumns count="8">
    <tableColumn id="1" xr3:uid="{00000000-0010-0000-0F00-000001000000}" name="Role"/>
    <tableColumn id="2" xr3:uid="{00000000-0010-0000-0F00-000002000000}" name="Archer Resourcing" dataCellStyle="Comma"/>
    <tableColumn id="3" xr3:uid="{00000000-0010-0000-0F00-000003000000}" name=" Infermiera Health Care" dataCellStyle="Comma"/>
    <tableColumn id="4" xr3:uid="{00000000-0010-0000-0F00-000004000000}" name="Locum Meds" dataCellStyle="Comma"/>
    <tableColumn id="5" xr3:uid="{00000000-0010-0000-0F00-000005000000}" name="Premium Staffing" dataCellStyle="Comma"/>
    <tableColumn id="6" xr3:uid="{00000000-0010-0000-0F00-000006000000}" name="Priority Nursing" dataCellStyle="Comma"/>
    <tableColumn id="7" xr3:uid="{00000000-0010-0000-0F00-000007000000}" name="Workforce Solutions" dataCellStyle="Comma"/>
    <tableColumn id="8" xr3:uid="{00000000-0010-0000-0F00-000008000000}" name="Grand Total" dataDxfId="66" dataCellStyle="Comma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0000000}" name="Table7" displayName="Table7" ref="C41:J55" totalsRowShown="0" headerRowDxfId="65" headerRowCellStyle="Comma" dataCellStyle="Comma">
  <autoFilter ref="C41:J55" xr:uid="{00000000-0009-0000-0100-000004000000}"/>
  <tableColumns count="8">
    <tableColumn id="1" xr3:uid="{00000000-0010-0000-1000-000001000000}" name="Role" dataDxfId="64" dataCellStyle="Comma"/>
    <tableColumn id="2" xr3:uid="{00000000-0010-0000-1000-000002000000}" name="Archer Resourcing" dataCellStyle="Comma"/>
    <tableColumn id="3" xr3:uid="{00000000-0010-0000-1000-000003000000}" name=" Infermiera Health Care" dataCellStyle="Comma"/>
    <tableColumn id="4" xr3:uid="{00000000-0010-0000-1000-000004000000}" name="Locum Meds" dataCellStyle="Comma"/>
    <tableColumn id="5" xr3:uid="{00000000-0010-0000-1000-000005000000}" name="Premium Staffing" dataCellStyle="Comma"/>
    <tableColumn id="6" xr3:uid="{00000000-0010-0000-1000-000006000000}" name="Priority Nursing" dataCellStyle="Comma"/>
    <tableColumn id="7" xr3:uid="{00000000-0010-0000-1000-000007000000}" name="Workforce Solutions" dataCellStyle="Comma"/>
    <tableColumn id="8" xr3:uid="{00000000-0010-0000-1000-000008000000}" name="Grand Total" dataDxfId="63" dataCellStyle="Comma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Table8" displayName="Table8" ref="C57:J65" totalsRowShown="0" headerRowDxfId="62" dataDxfId="61">
  <autoFilter ref="C57:J65" xr:uid="{00000000-0009-0000-0100-000005000000}"/>
  <tableColumns count="8">
    <tableColumn id="1" xr3:uid="{00000000-0010-0000-1100-000001000000}" name="Role" dataDxfId="60"/>
    <tableColumn id="2" xr3:uid="{00000000-0010-0000-1100-000002000000}" name="Archer Resourcing" dataCellStyle="Comma"/>
    <tableColumn id="3" xr3:uid="{00000000-0010-0000-1100-000003000000}" name=" Infermiera Health Care" dataCellStyle="Comma"/>
    <tableColumn id="4" xr3:uid="{00000000-0010-0000-1100-000004000000}" name="Locum Meds" dataDxfId="59" dataCellStyle="Comma"/>
    <tableColumn id="5" xr3:uid="{00000000-0010-0000-1100-000005000000}" name="Premium Staffing" dataDxfId="58" dataCellStyle="Comma"/>
    <tableColumn id="6" xr3:uid="{00000000-0010-0000-1100-000006000000}" name="Priority Nursing" dataDxfId="57" dataCellStyle="Comma"/>
    <tableColumn id="7" xr3:uid="{00000000-0010-0000-1100-000007000000}" name="Workforce Solutions" dataDxfId="56" dataCellStyle="Comma"/>
    <tableColumn id="8" xr3:uid="{00000000-0010-0000-1100-000008000000}" name="Grand Total" dataDxfId="55" dataCellStyle="Comma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2000000}" name="Table9" displayName="Table9" ref="C67:J78" totalsRowShown="0" headerRowDxfId="54" dataDxfId="53">
  <autoFilter ref="C67:J78" xr:uid="{00000000-0009-0000-0100-000006000000}"/>
  <tableColumns count="8">
    <tableColumn id="1" xr3:uid="{00000000-0010-0000-1200-000001000000}" name="Role" dataDxfId="52"/>
    <tableColumn id="2" xr3:uid="{00000000-0010-0000-1200-000002000000}" name="Archer Resourcing" dataCellStyle="Comma"/>
    <tableColumn id="3" xr3:uid="{00000000-0010-0000-1200-000003000000}" name=" Infermiera Health Care" dataCellStyle="Comma"/>
    <tableColumn id="4" xr3:uid="{00000000-0010-0000-1200-000004000000}" name="Locum Meds" dataDxfId="51" dataCellStyle="Comma"/>
    <tableColumn id="5" xr3:uid="{00000000-0010-0000-1200-000005000000}" name="Premium Staffing" dataDxfId="50" dataCellStyle="Comma"/>
    <tableColumn id="6" xr3:uid="{00000000-0010-0000-1200-000006000000}" name="Priority Nursing" dataDxfId="49" dataCellStyle="Comma"/>
    <tableColumn id="7" xr3:uid="{00000000-0010-0000-1200-000007000000}" name="Workforce Solutions" dataDxfId="48" dataCellStyle="Comma"/>
    <tableColumn id="8" xr3:uid="{00000000-0010-0000-1200-000008000000}" name="Grand Total" dataDxfId="47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Table3" displayName="Table3" ref="B25:AV49" totalsRowCount="1" headerRowDxfId="1241" dataDxfId="1239" headerRowBorderDxfId="1240">
  <autoFilter ref="B25:AV48" xr:uid="{00000000-0009-0000-0100-000010000000}"/>
  <tableColumns count="47">
    <tableColumn id="1" xr3:uid="{00000000-0010-0000-0100-000001000000}" name="Row Labels" totalsRowLabel="Total" dataDxfId="1238" totalsRowDxfId="1237" dataCellStyle="Comma"/>
    <tableColumn id="2" xr3:uid="{00000000-0010-0000-0100-000002000000}" name="3D Recruitment" totalsRowFunction="sum" dataDxfId="1236" totalsRowDxfId="1235" dataCellStyle="Comma"/>
    <tableColumn id="3" xr3:uid="{00000000-0010-0000-0100-000003000000}" name="App Locum" totalsRowFunction="sum" dataDxfId="1234" totalsRowDxfId="1233" dataCellStyle="Comma"/>
    <tableColumn id="4" xr3:uid="{00000000-0010-0000-0100-000004000000}" name="Athona" totalsRowFunction="sum" dataDxfId="1232" totalsRowDxfId="1231" dataCellStyle="Comma"/>
    <tableColumn id="5" xr3:uid="{00000000-0010-0000-0100-000005000000}" name="Beacon" totalsRowFunction="sum" dataDxfId="1230" totalsRowDxfId="1229" dataCellStyle="Comma"/>
    <tableColumn id="6" xr3:uid="{00000000-0010-0000-0100-000006000000}" name="Biggs Healthcare" totalsRowFunction="sum" dataDxfId="1228" totalsRowDxfId="1227" dataCellStyle="Comma"/>
    <tableColumn id="7" xr3:uid="{00000000-0010-0000-0100-000007000000}" name="Care Solutions" totalsRowFunction="sum" dataDxfId="1226" totalsRowDxfId="1225" dataCellStyle="Comma"/>
    <tableColumn id="8" xr3:uid="{00000000-0010-0000-0100-000008000000}" name="CES Locums" totalsRowFunction="sum" dataDxfId="1224" totalsRowDxfId="1223" dataCellStyle="Comma"/>
    <tableColumn id="9" xr3:uid="{00000000-0010-0000-0100-000009000000}" name="Chase Medical" totalsRowFunction="sum" dataDxfId="1222" totalsRowDxfId="1221" dataCellStyle="Comma"/>
    <tableColumn id="10" xr3:uid="{00000000-0010-0000-0100-00000A000000}" name="Day Webster" totalsRowFunction="sum" dataDxfId="1220" totalsRowDxfId="1219" dataCellStyle="Comma"/>
    <tableColumn id="11" xr3:uid="{00000000-0010-0000-0100-00000B000000}" name="DRC Locums" totalsRowFunction="sum" dataDxfId="1218" totalsRowDxfId="1217" dataCellStyle="Comma"/>
    <tableColumn id="12" xr3:uid="{00000000-0010-0000-0100-00000C000000}" name="Enviva Care" totalsRowFunction="sum" dataDxfId="1216" totalsRowDxfId="1215" dataCellStyle="Comma"/>
    <tableColumn id="13" xr3:uid="{00000000-0010-0000-0100-00000D000000}" name="HCL" totalsRowFunction="sum" dataDxfId="1214" totalsRowDxfId="1213" dataCellStyle="Comma"/>
    <tableColumn id="14" xr3:uid="{00000000-0010-0000-0100-00000E000000}" name="Hourglass" totalsRowFunction="sum" dataDxfId="1212" totalsRowDxfId="1211" dataCellStyle="Comma"/>
    <tableColumn id="15" xr3:uid="{00000000-0010-0000-0100-00000F000000}" name="Hunter Mental Health" totalsRowFunction="sum" dataDxfId="1210" totalsRowDxfId="1209" dataCellStyle="Comma"/>
    <tableColumn id="16" xr3:uid="{00000000-0010-0000-0100-000010000000}" name="ID Medical" totalsRowFunction="sum" dataDxfId="1208" totalsRowDxfId="1207" dataCellStyle="Comma"/>
    <tableColumn id="17" xr3:uid="{00000000-0010-0000-0100-000011000000}" name="IMC LOCUMS" totalsRowFunction="sum" dataDxfId="1206" totalsRowDxfId="1205" dataCellStyle="Comma"/>
    <tableColumn id="18" xr3:uid="{00000000-0010-0000-0100-000012000000}" name="Locummeds" totalsRowFunction="sum" dataDxfId="1204" totalsRowDxfId="1203" dataCellStyle="Comma"/>
    <tableColumn id="19" xr3:uid="{00000000-0010-0000-0100-000013000000}" name="Maxxima Ltd t/a Labmed Recruitment" totalsRowFunction="sum" dataDxfId="1202" totalsRowDxfId="1201" dataCellStyle="Comma"/>
    <tableColumn id="20" xr3:uid="{00000000-0010-0000-0100-000014000000}" name="Medicare Health Professional" totalsRowFunction="sum" dataDxfId="1200" totalsRowDxfId="1199" dataCellStyle="Comma"/>
    <tableColumn id="21" xr3:uid="{00000000-0010-0000-0100-000015000000}" name="Medicure Professional LTD" totalsRowFunction="sum" dataDxfId="1198" totalsRowDxfId="1197" dataCellStyle="Comma"/>
    <tableColumn id="22" xr3:uid="{00000000-0010-0000-0100-000016000000}" name="Medilink" totalsRowFunction="sum" dataDxfId="1196" totalsRowDxfId="1195" dataCellStyle="Comma"/>
    <tableColumn id="23" xr3:uid="{00000000-0010-0000-0100-000017000000}" name="Medsol Healthcare Services Ltd" totalsRowFunction="sum" dataDxfId="1194" totalsRowDxfId="1193" dataCellStyle="Comma"/>
    <tableColumn id="24" xr3:uid="{00000000-0010-0000-0100-000018000000}" name="MHP" totalsRowFunction="sum" dataDxfId="1192" totalsRowDxfId="1191" dataCellStyle="Comma"/>
    <tableColumn id="25" xr3:uid="{00000000-0010-0000-0100-000019000000}" name="MSI Recruitment" totalsRowFunction="sum" dataDxfId="1190" totalsRowDxfId="1189" dataCellStyle="Comma"/>
    <tableColumn id="26" xr3:uid="{00000000-0010-0000-0100-00001A000000}" name="MSU" totalsRowFunction="sum" dataDxfId="1188" totalsRowDxfId="1187" dataCellStyle="Comma"/>
    <tableColumn id="27" xr3:uid="{00000000-0010-0000-0100-00001B000000}" name="NURSING 2000" totalsRowFunction="sum" dataDxfId="1186" totalsRowDxfId="1185" dataCellStyle="Comma"/>
    <tableColumn id="28" xr3:uid="{00000000-0010-0000-0100-00001C000000}" name="P E Global Healthcare" totalsRowFunction="sum" dataDxfId="1184" totalsRowDxfId="1183" dataCellStyle="Comma"/>
    <tableColumn id="29" xr3:uid="{00000000-0010-0000-0100-00001D000000}" name="PerTemps" totalsRowFunction="sum" dataDxfId="1182" totalsRowDxfId="1181" dataCellStyle="Comma"/>
    <tableColumn id="30" xr3:uid="{00000000-0010-0000-0100-00001E000000}" name="PSL RECRUITMENT" totalsRowFunction="sum" dataDxfId="1180" totalsRowDxfId="1179" dataCellStyle="Comma"/>
    <tableColumn id="31" xr3:uid="{00000000-0010-0000-0100-00001F000000}" name="Pulse" totalsRowFunction="sum" dataDxfId="1178" totalsRowDxfId="1177" dataCellStyle="Comma"/>
    <tableColumn id="32" xr3:uid="{00000000-0010-0000-0100-000020000000}" name="Redspot Care Ltd" totalsRowFunction="sum" dataDxfId="1176" totalsRowDxfId="1175" dataCellStyle="Comma"/>
    <tableColumn id="33" xr3:uid="{00000000-0010-0000-0100-000021000000}" name="Sanctuary" totalsRowFunction="sum" dataDxfId="1174" totalsRowDxfId="1173" dataCellStyle="Comma"/>
    <tableColumn id="34" xr3:uid="{00000000-0010-0000-0100-000022000000}" name="Sensible Staffing" totalsRowFunction="sum" dataDxfId="1172" totalsRowDxfId="1171" dataCellStyle="Comma"/>
    <tableColumn id="35" xr3:uid="{00000000-0010-0000-0100-000023000000}" name="Service Care Solutions" totalsRowFunction="sum" dataDxfId="1170" totalsRowDxfId="1169" dataCellStyle="Comma"/>
    <tableColumn id="36" xr3:uid="{00000000-0010-0000-0100-000024000000}" name="Seven Resoucing" totalsRowFunction="sum" dataDxfId="1168" totalsRowDxfId="1167" dataCellStyle="Comma"/>
    <tableColumn id="37" xr3:uid="{00000000-0010-0000-0100-000025000000}" name="Seven Social Care" totalsRowFunction="sum" dataDxfId="1166" totalsRowDxfId="1165" dataCellStyle="Comma"/>
    <tableColumn id="38" xr3:uid="{00000000-0010-0000-0100-000026000000}" name="TBC" totalsRowFunction="sum" dataDxfId="1164" totalsRowDxfId="1163" dataCellStyle="Comma"/>
    <tableColumn id="39" xr3:uid="{00000000-0010-0000-0100-000027000000}" name="The London Teaching Pool" totalsRowFunction="sum" dataDxfId="1162" totalsRowDxfId="1161" dataCellStyle="Comma"/>
    <tableColumn id="40" xr3:uid="{00000000-0010-0000-0100-000028000000}" name="Tripod" totalsRowFunction="sum" dataDxfId="1160" totalsRowDxfId="1159" dataCellStyle="Comma"/>
    <tableColumn id="41" xr3:uid="{00000000-0010-0000-0100-000029000000}" name="Unity Healthcare" totalsRowFunction="sum" dataDxfId="1158" totalsRowDxfId="1157" dataCellStyle="Comma"/>
    <tableColumn id="42" xr3:uid="{00000000-0010-0000-0100-00002A000000}" name="West Meria" totalsRowFunction="sum" dataDxfId="1156" totalsRowDxfId="1155" dataCellStyle="Comma"/>
    <tableColumn id="43" xr3:uid="{00000000-0010-0000-0100-00002B000000}" name="Your World" totalsRowFunction="sum" dataDxfId="1154" totalsRowDxfId="1153" dataCellStyle="Comma"/>
    <tableColumn id="44" xr3:uid="{00000000-0010-0000-0100-00002C000000}" name="Your World Healthcare" totalsRowFunction="sum" dataDxfId="1152" totalsRowDxfId="1151" dataCellStyle="Comma"/>
    <tableColumn id="45" xr3:uid="{00000000-0010-0000-0100-00002D000000}" name="Your World Nursing" totalsRowFunction="sum" dataDxfId="1150" totalsRowDxfId="1149" dataCellStyle="Comma"/>
    <tableColumn id="46" xr3:uid="{00000000-0010-0000-0100-00002E000000}" name="Your World Recruitment Ltd" totalsRowFunction="sum" dataDxfId="1148" totalsRowDxfId="1147" dataCellStyle="Comma"/>
    <tableColumn id="47" xr3:uid="{00000000-0010-0000-0100-00002F000000}" name="Grand Total" totalsRowFunction="sum" dataDxfId="1146" totalsRowDxfId="1145">
      <calculatedColumnFormula>SUM(A26:AU26)</calculatedColumnFormula>
    </tableColumn>
  </tableColumns>
  <tableStyleInfo name="TableStyleLight20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3000000}" name="Table10" displayName="Table10" ref="C80:J89" totalsRowShown="0" headerRowDxfId="46" dataDxfId="45">
  <autoFilter ref="C80:J89" xr:uid="{00000000-0009-0000-0100-000007000000}"/>
  <tableColumns count="8">
    <tableColumn id="1" xr3:uid="{00000000-0010-0000-1300-000001000000}" name="Role" dataDxfId="44"/>
    <tableColumn id="2" xr3:uid="{00000000-0010-0000-1300-000002000000}" name="Archer Resourcing" dataCellStyle="Comma"/>
    <tableColumn id="3" xr3:uid="{00000000-0010-0000-1300-000003000000}" name=" Infermiera Health Care" dataCellStyle="Comma"/>
    <tableColumn id="4" xr3:uid="{00000000-0010-0000-1300-000004000000}" name="Locum Meds" dataDxfId="43" dataCellStyle="Comma"/>
    <tableColumn id="5" xr3:uid="{00000000-0010-0000-1300-000005000000}" name="Premium Staffing" dataDxfId="42" dataCellStyle="Comma"/>
    <tableColumn id="6" xr3:uid="{00000000-0010-0000-1300-000006000000}" name="Priority Nursing" dataDxfId="41" dataCellStyle="Comma"/>
    <tableColumn id="7" xr3:uid="{00000000-0010-0000-1300-000007000000}" name="Workforce Solutions" dataDxfId="40" dataCellStyle="Comma"/>
    <tableColumn id="8" xr3:uid="{00000000-0010-0000-1300-000008000000}" name="Grand Total" dataDxfId="39" dataCellStyle="Comma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4000000}" name="Table11" displayName="Table11" ref="C91:J94" totalsRowShown="0" headerRowDxfId="38">
  <autoFilter ref="C91:J94" xr:uid="{00000000-0009-0000-0100-000008000000}"/>
  <tableColumns count="8">
    <tableColumn id="1" xr3:uid="{00000000-0010-0000-1400-000001000000}" name="Role"/>
    <tableColumn id="2" xr3:uid="{00000000-0010-0000-1400-000002000000}" name="Archer Resourcing"/>
    <tableColumn id="3" xr3:uid="{00000000-0010-0000-1400-000003000000}" name=" Infermiera Health Care"/>
    <tableColumn id="4" xr3:uid="{00000000-0010-0000-1400-000004000000}" name="Locum Meds"/>
    <tableColumn id="5" xr3:uid="{00000000-0010-0000-1400-000005000000}" name="Premium Staffing"/>
    <tableColumn id="6" xr3:uid="{00000000-0010-0000-1400-000006000000}" name="Priority Nursing"/>
    <tableColumn id="7" xr3:uid="{00000000-0010-0000-1400-000007000000}" name="Workforce Solutions"/>
    <tableColumn id="8" xr3:uid="{00000000-0010-0000-1400-000008000000}" name="Grand Total" dataDxfId="37" dataCellStyle="Comma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5000000}" name="Table12" displayName="Table12" ref="C96:J103" totalsRowShown="0" headerRowDxfId="36" dataDxfId="35">
  <autoFilter ref="C96:J103" xr:uid="{00000000-0009-0000-0100-000009000000}"/>
  <tableColumns count="8">
    <tableColumn id="1" xr3:uid="{00000000-0010-0000-1500-000001000000}" name="Role" dataDxfId="34"/>
    <tableColumn id="2" xr3:uid="{00000000-0010-0000-1500-000002000000}" name="Archer Resourcing" dataCellStyle="Comma"/>
    <tableColumn id="3" xr3:uid="{00000000-0010-0000-1500-000003000000}" name=" Infermiera Health Care" dataCellStyle="Comma"/>
    <tableColumn id="4" xr3:uid="{00000000-0010-0000-1500-000004000000}" name="Locum Meds" dataDxfId="33" dataCellStyle="Comma"/>
    <tableColumn id="5" xr3:uid="{00000000-0010-0000-1500-000005000000}" name="Premium Staffing" dataDxfId="32" dataCellStyle="Comma"/>
    <tableColumn id="6" xr3:uid="{00000000-0010-0000-1500-000006000000}" name="Priority Nursing" dataDxfId="31" dataCellStyle="Comma"/>
    <tableColumn id="7" xr3:uid="{00000000-0010-0000-1500-000007000000}" name="Workforce Solutions" dataDxfId="30" dataCellStyle="Comma"/>
    <tableColumn id="8" xr3:uid="{00000000-0010-0000-1500-000008000000}" name="Grand Total" dataDxfId="29" dataCellStyle="Comma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6000000}" name="Table13" displayName="Table13" ref="C105:J112" totalsRowShown="0" headerRowDxfId="28" dataDxfId="27">
  <autoFilter ref="C105:J112" xr:uid="{00000000-0009-0000-0100-00000A000000}"/>
  <tableColumns count="8">
    <tableColumn id="1" xr3:uid="{00000000-0010-0000-1600-000001000000}" name="Role" dataDxfId="26"/>
    <tableColumn id="2" xr3:uid="{00000000-0010-0000-1600-000002000000}" name="Archer Resourcing" dataCellStyle="Comma"/>
    <tableColumn id="3" xr3:uid="{00000000-0010-0000-1600-000003000000}" name=" Infermiera Health Care" dataCellStyle="Comma"/>
    <tableColumn id="4" xr3:uid="{00000000-0010-0000-1600-000004000000}" name="Locum Meds" dataDxfId="25" dataCellStyle="Comma"/>
    <tableColumn id="5" xr3:uid="{00000000-0010-0000-1600-000005000000}" name="Premium Staffing" dataDxfId="24" dataCellStyle="Comma"/>
    <tableColumn id="6" xr3:uid="{00000000-0010-0000-1600-000006000000}" name="Priority Nursing" dataDxfId="23" dataCellStyle="Comma"/>
    <tableColumn id="7" xr3:uid="{00000000-0010-0000-1600-000007000000}" name="Workforce Solutions" dataDxfId="22" dataCellStyle="Comma"/>
    <tableColumn id="8" xr3:uid="{00000000-0010-0000-1600-000008000000}" name="Grand Total" dataDxfId="21" dataCellStyle="Comma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7000000}" name="Table14" displayName="Table14" ref="C114:J120" totalsRowShown="0" headerRowDxfId="20">
  <autoFilter ref="C114:J120" xr:uid="{00000000-0009-0000-0100-00000B000000}"/>
  <tableColumns count="8">
    <tableColumn id="1" xr3:uid="{00000000-0010-0000-1700-000001000000}" name="Role" dataDxfId="19"/>
    <tableColumn id="2" xr3:uid="{00000000-0010-0000-1700-000002000000}" name="Archer Resourcing" dataCellStyle="Comma"/>
    <tableColumn id="3" xr3:uid="{00000000-0010-0000-1700-000003000000}" name=" Infermiera Health Care" dataCellStyle="Comma"/>
    <tableColumn id="4" xr3:uid="{00000000-0010-0000-1700-000004000000}" name="Locum Meds" dataDxfId="18" dataCellStyle="Comma"/>
    <tableColumn id="5" xr3:uid="{00000000-0010-0000-1700-000005000000}" name="Premium Staffing" dataDxfId="17" dataCellStyle="Comma"/>
    <tableColumn id="6" xr3:uid="{00000000-0010-0000-1700-000006000000}" name="Priority Nursing" dataDxfId="16" dataCellStyle="Comma"/>
    <tableColumn id="7" xr3:uid="{00000000-0010-0000-1700-000007000000}" name="Workforce Solutions" dataDxfId="15" dataCellStyle="Comma"/>
    <tableColumn id="8" xr3:uid="{00000000-0010-0000-1700-000008000000}" name="Grand Total" dataDxfId="14" dataCellStyle="Comma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8000000}" name="Table15" displayName="Table15" ref="C129:J133" totalsRowShown="0" headerRowDxfId="13">
  <autoFilter ref="C129:J133" xr:uid="{00000000-0009-0000-0100-00000C000000}"/>
  <tableColumns count="8">
    <tableColumn id="1" xr3:uid="{00000000-0010-0000-1800-000001000000}" name="Role" dataDxfId="12"/>
    <tableColumn id="2" xr3:uid="{00000000-0010-0000-1800-000002000000}" name="Archer Resourcing" dataCellStyle="Comma">
      <calculatedColumnFormula>SUBTOTAL(109,D127:D129)</calculatedColumnFormula>
    </tableColumn>
    <tableColumn id="3" xr3:uid="{00000000-0010-0000-1800-000003000000}" name=" Infermiera Health Care" dataCellStyle="Comma"/>
    <tableColumn id="4" xr3:uid="{00000000-0010-0000-1800-000004000000}" name="Locum Meds" dataDxfId="11" dataCellStyle="Comma"/>
    <tableColumn id="5" xr3:uid="{00000000-0010-0000-1800-000005000000}" name="Premium Staffing" dataDxfId="10" dataCellStyle="Comma"/>
    <tableColumn id="6" xr3:uid="{00000000-0010-0000-1800-000006000000}" name="Priority Nursing" dataDxfId="9" dataCellStyle="Comma"/>
    <tableColumn id="7" xr3:uid="{00000000-0010-0000-1800-000007000000}" name="Workforce Solutions" dataDxfId="8" dataCellStyle="Comma"/>
    <tableColumn id="8" xr3:uid="{00000000-0010-0000-1800-000008000000}" name="Grand Total" dataDxfId="7" dataCellStyle="Comma">
      <calculatedColumnFormula>SUM(D130:I130)</calculatedColumnFormula>
    </tableColumn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9000000}" name="Table16" displayName="Table16" ref="C122:J127" totalsRowShown="0" headerRowDxfId="6">
  <autoFilter ref="C122:J127" xr:uid="{00000000-0009-0000-0100-00000D000000}"/>
  <tableColumns count="8">
    <tableColumn id="1" xr3:uid="{00000000-0010-0000-1900-000001000000}" name="Role" dataDxfId="5"/>
    <tableColumn id="2" xr3:uid="{00000000-0010-0000-1900-000002000000}" name="Archer Resourcing" dataCellStyle="Comma">
      <calculatedColumnFormula>SUBTOTAL(109,D119:D122)</calculatedColumnFormula>
    </tableColumn>
    <tableColumn id="3" xr3:uid="{00000000-0010-0000-1900-000003000000}" name=" Infermiera Health Care" dataCellStyle="Comma"/>
    <tableColumn id="4" xr3:uid="{00000000-0010-0000-1900-000004000000}" name="Locum Meds" dataDxfId="4" dataCellStyle="Comma"/>
    <tableColumn id="5" xr3:uid="{00000000-0010-0000-1900-000005000000}" name="Premium Staffing" dataDxfId="3" dataCellStyle="Comma"/>
    <tableColumn id="6" xr3:uid="{00000000-0010-0000-1900-000006000000}" name="Priority Nursing" dataDxfId="2" dataCellStyle="Comma"/>
    <tableColumn id="7" xr3:uid="{00000000-0010-0000-1900-000007000000}" name="Workforce Solutions" dataDxfId="1" dataCellStyle="Comma"/>
    <tableColumn id="8" xr3:uid="{00000000-0010-0000-1900-000008000000}" name="Grand Total" dataDxfId="0" dataCellStyle="Comm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2000000}" name="Table18" displayName="Table18" ref="B51:AV75" totalsRowCount="1" headerRowDxfId="1144" dataDxfId="1142" headerRowBorderDxfId="1143">
  <autoFilter ref="B51:AV74" xr:uid="{00000000-0009-0000-0100-000011000000}"/>
  <tableColumns count="47">
    <tableColumn id="1" xr3:uid="{00000000-0010-0000-0200-000001000000}" name="Row Labels" totalsRowLabel="Total" dataDxfId="1141" totalsRowDxfId="1140" dataCellStyle="Comma"/>
    <tableColumn id="2" xr3:uid="{00000000-0010-0000-0200-000002000000}" name="3D Recruitment" totalsRowFunction="sum" dataDxfId="1139" totalsRowDxfId="1138" dataCellStyle="Comma"/>
    <tableColumn id="3" xr3:uid="{00000000-0010-0000-0200-000003000000}" name="App Locum" totalsRowFunction="sum" dataDxfId="1137" totalsRowDxfId="1136" dataCellStyle="Comma"/>
    <tableColumn id="4" xr3:uid="{00000000-0010-0000-0200-000004000000}" name="Athona" totalsRowFunction="sum" dataDxfId="1135" totalsRowDxfId="1134" dataCellStyle="Comma"/>
    <tableColumn id="5" xr3:uid="{00000000-0010-0000-0200-000005000000}" name="Beacon" totalsRowFunction="sum" dataDxfId="1133" totalsRowDxfId="1132" dataCellStyle="Comma"/>
    <tableColumn id="6" xr3:uid="{00000000-0010-0000-0200-000006000000}" name="Biggs Healthcare" totalsRowFunction="sum" dataDxfId="1131" totalsRowDxfId="1130" dataCellStyle="Comma"/>
    <tableColumn id="7" xr3:uid="{00000000-0010-0000-0200-000007000000}" name="Care Solutions" totalsRowFunction="sum" dataDxfId="1129" totalsRowDxfId="1128" dataCellStyle="Comma"/>
    <tableColumn id="8" xr3:uid="{00000000-0010-0000-0200-000008000000}" name="CES Locums" totalsRowFunction="sum" dataDxfId="1127" totalsRowDxfId="1126" dataCellStyle="Comma"/>
    <tableColumn id="9" xr3:uid="{00000000-0010-0000-0200-000009000000}" name="Chase Medical" totalsRowFunction="sum" dataDxfId="1125" totalsRowDxfId="1124" dataCellStyle="Comma"/>
    <tableColumn id="10" xr3:uid="{00000000-0010-0000-0200-00000A000000}" name="Day Webster" totalsRowFunction="sum" dataDxfId="1123" totalsRowDxfId="1122" dataCellStyle="Comma"/>
    <tableColumn id="11" xr3:uid="{00000000-0010-0000-0200-00000B000000}" name="DRC Locums" totalsRowFunction="sum" dataDxfId="1121" totalsRowDxfId="1120" dataCellStyle="Comma"/>
    <tableColumn id="12" xr3:uid="{00000000-0010-0000-0200-00000C000000}" name="Enviva Care" totalsRowFunction="sum" dataDxfId="1119" totalsRowDxfId="1118" dataCellStyle="Comma"/>
    <tableColumn id="13" xr3:uid="{00000000-0010-0000-0200-00000D000000}" name="HCL" totalsRowFunction="sum" dataDxfId="1117" totalsRowDxfId="1116" dataCellStyle="Comma"/>
    <tableColumn id="14" xr3:uid="{00000000-0010-0000-0200-00000E000000}" name="Hourglass" totalsRowFunction="sum" dataDxfId="1115" totalsRowDxfId="1114" dataCellStyle="Comma"/>
    <tableColumn id="15" xr3:uid="{00000000-0010-0000-0200-00000F000000}" name="Hunter Mental Health" totalsRowFunction="sum" dataDxfId="1113" totalsRowDxfId="1112" dataCellStyle="Comma"/>
    <tableColumn id="16" xr3:uid="{00000000-0010-0000-0200-000010000000}" name="ID Medical" totalsRowFunction="sum" dataDxfId="1111" totalsRowDxfId="1110" dataCellStyle="Comma"/>
    <tableColumn id="17" xr3:uid="{00000000-0010-0000-0200-000011000000}" name="IMC LOCUMS" totalsRowFunction="sum" dataDxfId="1109" totalsRowDxfId="1108" dataCellStyle="Comma"/>
    <tableColumn id="18" xr3:uid="{00000000-0010-0000-0200-000012000000}" name="Locummeds" totalsRowFunction="sum" dataDxfId="1107" totalsRowDxfId="1106" dataCellStyle="Comma"/>
    <tableColumn id="19" xr3:uid="{00000000-0010-0000-0200-000013000000}" name="Maxxima Ltd t/a Labmed Recruitment" totalsRowFunction="sum" dataDxfId="1105" totalsRowDxfId="1104" dataCellStyle="Comma"/>
    <tableColumn id="20" xr3:uid="{00000000-0010-0000-0200-000014000000}" name="Medicare Health Professional" totalsRowFunction="sum" dataDxfId="1103" totalsRowDxfId="1102" dataCellStyle="Comma"/>
    <tableColumn id="21" xr3:uid="{00000000-0010-0000-0200-000015000000}" name="Medicure Professional LTD" totalsRowFunction="sum" dataDxfId="1101" totalsRowDxfId="1100" dataCellStyle="Comma"/>
    <tableColumn id="22" xr3:uid="{00000000-0010-0000-0200-000016000000}" name="Medilink" totalsRowFunction="sum" dataDxfId="1099" totalsRowDxfId="1098" dataCellStyle="Comma"/>
    <tableColumn id="23" xr3:uid="{00000000-0010-0000-0200-000017000000}" name="Medsol Healthcare Services Ltd" totalsRowFunction="sum" dataDxfId="1097" totalsRowDxfId="1096" dataCellStyle="Comma"/>
    <tableColumn id="24" xr3:uid="{00000000-0010-0000-0200-000018000000}" name="MHP" totalsRowFunction="sum" dataDxfId="1095" totalsRowDxfId="1094" dataCellStyle="Comma"/>
    <tableColumn id="25" xr3:uid="{00000000-0010-0000-0200-000019000000}" name="MSI Recruitment" totalsRowFunction="sum" dataDxfId="1093" totalsRowDxfId="1092" dataCellStyle="Comma"/>
    <tableColumn id="26" xr3:uid="{00000000-0010-0000-0200-00001A000000}" name="MSU" totalsRowFunction="sum" dataDxfId="1091" totalsRowDxfId="1090" dataCellStyle="Comma"/>
    <tableColumn id="27" xr3:uid="{00000000-0010-0000-0200-00001B000000}" name="NURSING 2000" totalsRowFunction="sum" dataDxfId="1089" totalsRowDxfId="1088" dataCellStyle="Comma"/>
    <tableColumn id="28" xr3:uid="{00000000-0010-0000-0200-00001C000000}" name="P E Global Healthcare" totalsRowFunction="sum" dataDxfId="1087" totalsRowDxfId="1086" dataCellStyle="Comma"/>
    <tableColumn id="29" xr3:uid="{00000000-0010-0000-0200-00001D000000}" name="PerTemps" totalsRowFunction="sum" dataDxfId="1085" totalsRowDxfId="1084" dataCellStyle="Comma"/>
    <tableColumn id="30" xr3:uid="{00000000-0010-0000-0200-00001E000000}" name="PSL RECRUITMENT" totalsRowFunction="sum" dataDxfId="1083" totalsRowDxfId="1082" dataCellStyle="Comma"/>
    <tableColumn id="31" xr3:uid="{00000000-0010-0000-0200-00001F000000}" name="Pulse" totalsRowFunction="sum" dataDxfId="1081" totalsRowDxfId="1080" dataCellStyle="Comma"/>
    <tableColumn id="32" xr3:uid="{00000000-0010-0000-0200-000020000000}" name="Redspot Care Ltd" totalsRowFunction="sum" dataDxfId="1079" totalsRowDxfId="1078" dataCellStyle="Comma"/>
    <tableColumn id="33" xr3:uid="{00000000-0010-0000-0200-000021000000}" name="Sanctuary" totalsRowFunction="sum" dataDxfId="1077" totalsRowDxfId="1076" dataCellStyle="Comma"/>
    <tableColumn id="34" xr3:uid="{00000000-0010-0000-0200-000022000000}" name="Sensible Staffing" totalsRowFunction="sum" dataDxfId="1075" totalsRowDxfId="1074" dataCellStyle="Comma"/>
    <tableColumn id="35" xr3:uid="{00000000-0010-0000-0200-000023000000}" name="Service Care Solutions" totalsRowFunction="sum" dataDxfId="1073" totalsRowDxfId="1072" dataCellStyle="Comma"/>
    <tableColumn id="36" xr3:uid="{00000000-0010-0000-0200-000024000000}" name="Seven Resoucing" totalsRowFunction="sum" dataDxfId="1071" totalsRowDxfId="1070" dataCellStyle="Comma"/>
    <tableColumn id="37" xr3:uid="{00000000-0010-0000-0200-000025000000}" name="Seven Social Care" totalsRowFunction="sum" dataDxfId="1069" totalsRowDxfId="1068" dataCellStyle="Comma"/>
    <tableColumn id="38" xr3:uid="{00000000-0010-0000-0200-000026000000}" name="TBC" totalsRowFunction="sum" dataDxfId="1067" totalsRowDxfId="1066" dataCellStyle="Comma"/>
    <tableColumn id="39" xr3:uid="{00000000-0010-0000-0200-000027000000}" name="The London Teaching Pool" totalsRowFunction="sum" dataDxfId="1065" totalsRowDxfId="1064" dataCellStyle="Comma"/>
    <tableColumn id="40" xr3:uid="{00000000-0010-0000-0200-000028000000}" name="Tripod" totalsRowFunction="sum" dataDxfId="1063" totalsRowDxfId="1062" dataCellStyle="Comma"/>
    <tableColumn id="41" xr3:uid="{00000000-0010-0000-0200-000029000000}" name="Unity Healthcare" totalsRowFunction="sum" dataDxfId="1061" totalsRowDxfId="1060" dataCellStyle="Comma"/>
    <tableColumn id="42" xr3:uid="{00000000-0010-0000-0200-00002A000000}" name="West Meria" totalsRowFunction="sum" dataDxfId="1059" totalsRowDxfId="1058" dataCellStyle="Comma"/>
    <tableColumn id="43" xr3:uid="{00000000-0010-0000-0200-00002B000000}" name="Your World" totalsRowFunction="sum" dataDxfId="1057" totalsRowDxfId="1056" dataCellStyle="Comma"/>
    <tableColumn id="44" xr3:uid="{00000000-0010-0000-0200-00002C000000}" name="Your World Healthcare" totalsRowFunction="sum" dataDxfId="1055" totalsRowDxfId="1054" dataCellStyle="Comma"/>
    <tableColumn id="45" xr3:uid="{00000000-0010-0000-0200-00002D000000}" name="Your World Nursing" totalsRowFunction="sum" dataDxfId="1053" totalsRowDxfId="1052" dataCellStyle="Comma"/>
    <tableColumn id="46" xr3:uid="{00000000-0010-0000-0200-00002E000000}" name="Your World Recruitment Ltd" totalsRowFunction="sum" dataDxfId="1051" totalsRowDxfId="1050" dataCellStyle="Comma"/>
    <tableColumn id="47" xr3:uid="{00000000-0010-0000-0200-00002F000000}" name="Grand Total" totalsRowFunction="sum" dataDxfId="1049" totalsRowDxfId="1048">
      <calculatedColumnFormula>SUM(A52:AU52)</calculatedColumnFormula>
    </tableColumn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3000000}" name="Table19" displayName="Table19" ref="B77:AV103" totalsRowCount="1" headerRowDxfId="1047" dataDxfId="1045" headerRowBorderDxfId="1046">
  <autoFilter ref="B77:AV102" xr:uid="{00000000-0009-0000-0100-000012000000}"/>
  <tableColumns count="47">
    <tableColumn id="1" xr3:uid="{00000000-0010-0000-0300-000001000000}" name="Row Labels" totalsRowLabel="Total" dataDxfId="1044" totalsRowDxfId="1043" dataCellStyle="Comma"/>
    <tableColumn id="2" xr3:uid="{00000000-0010-0000-0300-000002000000}" name="3D Recruitment" totalsRowFunction="sum" dataDxfId="1042" totalsRowDxfId="1041" dataCellStyle="Comma"/>
    <tableColumn id="3" xr3:uid="{00000000-0010-0000-0300-000003000000}" name="App Locum" totalsRowFunction="sum" dataDxfId="1040" totalsRowDxfId="1039" dataCellStyle="Comma"/>
    <tableColumn id="4" xr3:uid="{00000000-0010-0000-0300-000004000000}" name="Athona" totalsRowFunction="sum" dataDxfId="1038" totalsRowDxfId="1037" dataCellStyle="Comma"/>
    <tableColumn id="5" xr3:uid="{00000000-0010-0000-0300-000005000000}" name="Beacon" totalsRowFunction="sum" dataDxfId="1036" totalsRowDxfId="1035" dataCellStyle="Comma"/>
    <tableColumn id="6" xr3:uid="{00000000-0010-0000-0300-000006000000}" name="Biggs Healthcare" totalsRowFunction="sum" dataDxfId="1034" totalsRowDxfId="1033" dataCellStyle="Comma"/>
    <tableColumn id="7" xr3:uid="{00000000-0010-0000-0300-000007000000}" name="Care Solutions" totalsRowFunction="sum" dataDxfId="1032" totalsRowDxfId="1031" dataCellStyle="Comma"/>
    <tableColumn id="8" xr3:uid="{00000000-0010-0000-0300-000008000000}" name="CES Locums" totalsRowFunction="sum" dataDxfId="1030" totalsRowDxfId="1029" dataCellStyle="Comma"/>
    <tableColumn id="9" xr3:uid="{00000000-0010-0000-0300-000009000000}" name="Chase Medical" totalsRowFunction="sum" dataDxfId="1028" totalsRowDxfId="1027" dataCellStyle="Comma"/>
    <tableColumn id="10" xr3:uid="{00000000-0010-0000-0300-00000A000000}" name="Day Webster" totalsRowFunction="sum" dataDxfId="1026" totalsRowDxfId="1025" dataCellStyle="Comma"/>
    <tableColumn id="11" xr3:uid="{00000000-0010-0000-0300-00000B000000}" name="DRC Locums" totalsRowFunction="sum" dataDxfId="1024" totalsRowDxfId="1023" dataCellStyle="Comma"/>
    <tableColumn id="12" xr3:uid="{00000000-0010-0000-0300-00000C000000}" name="Enviva Care" totalsRowFunction="sum" dataDxfId="1022" totalsRowDxfId="1021" dataCellStyle="Comma"/>
    <tableColumn id="13" xr3:uid="{00000000-0010-0000-0300-00000D000000}" name="HCL" totalsRowFunction="sum" dataDxfId="1020" totalsRowDxfId="1019" dataCellStyle="Comma"/>
    <tableColumn id="14" xr3:uid="{00000000-0010-0000-0300-00000E000000}" name="Hourglass" totalsRowFunction="sum" dataDxfId="1018" totalsRowDxfId="1017" dataCellStyle="Comma"/>
    <tableColumn id="15" xr3:uid="{00000000-0010-0000-0300-00000F000000}" name="Hunter Mental Health" totalsRowFunction="sum" dataDxfId="1016" totalsRowDxfId="1015" dataCellStyle="Comma"/>
    <tableColumn id="16" xr3:uid="{00000000-0010-0000-0300-000010000000}" name="ID Medical" totalsRowFunction="sum" dataDxfId="1014" totalsRowDxfId="1013" dataCellStyle="Comma"/>
    <tableColumn id="17" xr3:uid="{00000000-0010-0000-0300-000011000000}" name="IMC LOCUMS" totalsRowFunction="sum" dataDxfId="1012" totalsRowDxfId="1011" dataCellStyle="Comma"/>
    <tableColumn id="18" xr3:uid="{00000000-0010-0000-0300-000012000000}" name="Locummeds" totalsRowFunction="sum" dataDxfId="1010" totalsRowDxfId="1009" dataCellStyle="Comma"/>
    <tableColumn id="19" xr3:uid="{00000000-0010-0000-0300-000013000000}" name="Maxxima Ltd t/a Labmed Recruitment" totalsRowFunction="sum" dataDxfId="1008" totalsRowDxfId="1007" dataCellStyle="Comma"/>
    <tableColumn id="20" xr3:uid="{00000000-0010-0000-0300-000014000000}" name="Medicare Health Professional" totalsRowFunction="sum" dataDxfId="1006" totalsRowDxfId="1005" dataCellStyle="Comma"/>
    <tableColumn id="21" xr3:uid="{00000000-0010-0000-0300-000015000000}" name="Medicure Professional LTD" totalsRowFunction="sum" dataDxfId="1004" totalsRowDxfId="1003" dataCellStyle="Comma"/>
    <tableColumn id="22" xr3:uid="{00000000-0010-0000-0300-000016000000}" name="Medilink" totalsRowFunction="sum" dataDxfId="1002" totalsRowDxfId="1001" dataCellStyle="Comma"/>
    <tableColumn id="23" xr3:uid="{00000000-0010-0000-0300-000017000000}" name="Medsol Healthcare Services Ltd" totalsRowFunction="sum" dataDxfId="1000" totalsRowDxfId="999" dataCellStyle="Comma"/>
    <tableColumn id="24" xr3:uid="{00000000-0010-0000-0300-000018000000}" name="MHP" totalsRowFunction="sum" dataDxfId="998" totalsRowDxfId="997" dataCellStyle="Comma"/>
    <tableColumn id="25" xr3:uid="{00000000-0010-0000-0300-000019000000}" name="MSI Recruitment" totalsRowFunction="sum" dataDxfId="996" totalsRowDxfId="995" dataCellStyle="Comma"/>
    <tableColumn id="26" xr3:uid="{00000000-0010-0000-0300-00001A000000}" name="MSU" totalsRowFunction="sum" dataDxfId="994" totalsRowDxfId="993" dataCellStyle="Comma"/>
    <tableColumn id="27" xr3:uid="{00000000-0010-0000-0300-00001B000000}" name="NURSING 2000" totalsRowFunction="sum" dataDxfId="992" totalsRowDxfId="991" dataCellStyle="Comma"/>
    <tableColumn id="28" xr3:uid="{00000000-0010-0000-0300-00001C000000}" name="P E Global Healthcare" totalsRowFunction="sum" dataDxfId="990" totalsRowDxfId="989" dataCellStyle="Comma"/>
    <tableColumn id="29" xr3:uid="{00000000-0010-0000-0300-00001D000000}" name="PerTemps" totalsRowFunction="sum" dataDxfId="988" totalsRowDxfId="987" dataCellStyle="Comma"/>
    <tableColumn id="30" xr3:uid="{00000000-0010-0000-0300-00001E000000}" name="PSL RECRUITMENT" totalsRowFunction="sum" dataDxfId="986" totalsRowDxfId="985" dataCellStyle="Comma"/>
    <tableColumn id="31" xr3:uid="{00000000-0010-0000-0300-00001F000000}" name="Pulse" totalsRowFunction="sum" dataDxfId="984" totalsRowDxfId="983" dataCellStyle="Comma"/>
    <tableColumn id="32" xr3:uid="{00000000-0010-0000-0300-000020000000}" name="Redspot Care Ltd" totalsRowFunction="sum" dataDxfId="982" totalsRowDxfId="981" dataCellStyle="Comma"/>
    <tableColumn id="33" xr3:uid="{00000000-0010-0000-0300-000021000000}" name="Sanctuary" totalsRowFunction="sum" dataDxfId="980" totalsRowDxfId="979" dataCellStyle="Comma"/>
    <tableColumn id="34" xr3:uid="{00000000-0010-0000-0300-000022000000}" name="Sensible Staffing" totalsRowFunction="sum" dataDxfId="978" totalsRowDxfId="977" dataCellStyle="Comma"/>
    <tableColumn id="35" xr3:uid="{00000000-0010-0000-0300-000023000000}" name="Service Care Solutions" totalsRowFunction="sum" dataDxfId="976" totalsRowDxfId="975" dataCellStyle="Comma"/>
    <tableColumn id="36" xr3:uid="{00000000-0010-0000-0300-000024000000}" name="Seven Resoucing" totalsRowFunction="sum" dataDxfId="974" totalsRowDxfId="973" dataCellStyle="Comma"/>
    <tableColumn id="37" xr3:uid="{00000000-0010-0000-0300-000025000000}" name="Seven Social Care" totalsRowFunction="sum" dataDxfId="972" totalsRowDxfId="971" dataCellStyle="Comma"/>
    <tableColumn id="38" xr3:uid="{00000000-0010-0000-0300-000026000000}" name="TBC" totalsRowFunction="sum" dataDxfId="970" totalsRowDxfId="969" dataCellStyle="Comma"/>
    <tableColumn id="39" xr3:uid="{00000000-0010-0000-0300-000027000000}" name="The London Teaching Pool" totalsRowFunction="sum" dataDxfId="968" totalsRowDxfId="967" dataCellStyle="Comma"/>
    <tableColumn id="40" xr3:uid="{00000000-0010-0000-0300-000028000000}" name="Tripod" totalsRowFunction="sum" dataDxfId="966" totalsRowDxfId="965" dataCellStyle="Comma"/>
    <tableColumn id="41" xr3:uid="{00000000-0010-0000-0300-000029000000}" name="Unity Healthcare" totalsRowFunction="sum" dataDxfId="964" totalsRowDxfId="963" dataCellStyle="Comma"/>
    <tableColumn id="42" xr3:uid="{00000000-0010-0000-0300-00002A000000}" name="West Meria" totalsRowFunction="sum" dataDxfId="962" totalsRowDxfId="961" dataCellStyle="Comma"/>
    <tableColumn id="43" xr3:uid="{00000000-0010-0000-0300-00002B000000}" name="Your World" totalsRowFunction="sum" dataDxfId="960" totalsRowDxfId="959" dataCellStyle="Comma"/>
    <tableColumn id="44" xr3:uid="{00000000-0010-0000-0300-00002C000000}" name="Your World Healthcare" totalsRowFunction="sum" dataDxfId="958" totalsRowDxfId="957" dataCellStyle="Comma"/>
    <tableColumn id="45" xr3:uid="{00000000-0010-0000-0300-00002D000000}" name="Your World Nursing" totalsRowFunction="sum" dataDxfId="956" totalsRowDxfId="955" dataCellStyle="Comma"/>
    <tableColumn id="46" xr3:uid="{00000000-0010-0000-0300-00002E000000}" name="Your World Recruitment Ltd" totalsRowFunction="sum" dataDxfId="954" totalsRowDxfId="953" dataCellStyle="Comma"/>
    <tableColumn id="47" xr3:uid="{00000000-0010-0000-0300-00002F000000}" name="Grand Total" totalsRowFunction="sum" dataDxfId="952" totalsRowDxfId="951">
      <calculatedColumnFormula>SUM(A78:AU78)</calculatedColumnFormula>
    </tableColumn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4000000}" name="Table20" displayName="Table20" ref="B105:AV135" totalsRowCount="1" headerRowDxfId="950" dataDxfId="948" headerRowBorderDxfId="949">
  <autoFilter ref="B105:AV134" xr:uid="{00000000-0009-0000-0100-000013000000}"/>
  <tableColumns count="47">
    <tableColumn id="1" xr3:uid="{00000000-0010-0000-0400-000001000000}" name="Row Labels" totalsRowLabel="Total" dataDxfId="947" totalsRowDxfId="946" dataCellStyle="Comma"/>
    <tableColumn id="2" xr3:uid="{00000000-0010-0000-0400-000002000000}" name="3D Recruitment" totalsRowFunction="sum" dataDxfId="945" totalsRowDxfId="944" dataCellStyle="Comma"/>
    <tableColumn id="3" xr3:uid="{00000000-0010-0000-0400-000003000000}" name="App Locum" totalsRowFunction="sum" dataDxfId="943" totalsRowDxfId="942" dataCellStyle="Comma"/>
    <tableColumn id="4" xr3:uid="{00000000-0010-0000-0400-000004000000}" name="Athona" totalsRowFunction="sum" dataDxfId="941" totalsRowDxfId="940" dataCellStyle="Comma"/>
    <tableColumn id="5" xr3:uid="{00000000-0010-0000-0400-000005000000}" name="Beacon" totalsRowFunction="sum" dataDxfId="939" totalsRowDxfId="938" dataCellStyle="Comma"/>
    <tableColumn id="6" xr3:uid="{00000000-0010-0000-0400-000006000000}" name="Biggs Healthcare" totalsRowFunction="sum" dataDxfId="937" totalsRowDxfId="936" dataCellStyle="Comma"/>
    <tableColumn id="7" xr3:uid="{00000000-0010-0000-0400-000007000000}" name="Care Solutions" totalsRowFunction="sum" dataDxfId="935" totalsRowDxfId="934" dataCellStyle="Comma"/>
    <tableColumn id="8" xr3:uid="{00000000-0010-0000-0400-000008000000}" name="CES Locums" totalsRowFunction="sum" dataDxfId="933" totalsRowDxfId="932" dataCellStyle="Comma"/>
    <tableColumn id="9" xr3:uid="{00000000-0010-0000-0400-000009000000}" name="Chase Medical" totalsRowFunction="sum" dataDxfId="931" totalsRowDxfId="930" dataCellStyle="Comma"/>
    <tableColumn id="10" xr3:uid="{00000000-0010-0000-0400-00000A000000}" name="Day Webster" totalsRowFunction="sum" dataDxfId="929" totalsRowDxfId="928" dataCellStyle="Comma"/>
    <tableColumn id="11" xr3:uid="{00000000-0010-0000-0400-00000B000000}" name="DRC Locums" totalsRowFunction="sum" dataDxfId="927" totalsRowDxfId="926" dataCellStyle="Comma"/>
    <tableColumn id="12" xr3:uid="{00000000-0010-0000-0400-00000C000000}" name="Enviva Care" totalsRowFunction="sum" dataDxfId="925" totalsRowDxfId="924" dataCellStyle="Comma"/>
    <tableColumn id="13" xr3:uid="{00000000-0010-0000-0400-00000D000000}" name="HCL" totalsRowFunction="sum" dataDxfId="923" totalsRowDxfId="922" dataCellStyle="Comma"/>
    <tableColumn id="14" xr3:uid="{00000000-0010-0000-0400-00000E000000}" name="Hourglass" totalsRowFunction="sum" dataDxfId="921" totalsRowDxfId="920" dataCellStyle="Comma"/>
    <tableColumn id="15" xr3:uid="{00000000-0010-0000-0400-00000F000000}" name="Hunter Mental Health" totalsRowFunction="sum" dataDxfId="919" totalsRowDxfId="918" dataCellStyle="Comma"/>
    <tableColumn id="16" xr3:uid="{00000000-0010-0000-0400-000010000000}" name="ID Medical" totalsRowFunction="sum" dataDxfId="917" totalsRowDxfId="916" dataCellStyle="Comma"/>
    <tableColumn id="17" xr3:uid="{00000000-0010-0000-0400-000011000000}" name="IMC LOCUMS" totalsRowFunction="sum" dataDxfId="915" totalsRowDxfId="914" dataCellStyle="Comma"/>
    <tableColumn id="18" xr3:uid="{00000000-0010-0000-0400-000012000000}" name="Locummeds" totalsRowFunction="sum" dataDxfId="913" totalsRowDxfId="912" dataCellStyle="Comma"/>
    <tableColumn id="19" xr3:uid="{00000000-0010-0000-0400-000013000000}" name="Maxxima Ltd t/a Labmed Recruitment" totalsRowFunction="sum" dataDxfId="911" totalsRowDxfId="910" dataCellStyle="Comma"/>
    <tableColumn id="20" xr3:uid="{00000000-0010-0000-0400-000014000000}" name="Medicare Health Professional" totalsRowFunction="sum" dataDxfId="909" totalsRowDxfId="908" dataCellStyle="Comma"/>
    <tableColumn id="21" xr3:uid="{00000000-0010-0000-0400-000015000000}" name="Medicure Professional LTD" totalsRowFunction="sum" dataDxfId="907" totalsRowDxfId="906" dataCellStyle="Comma"/>
    <tableColumn id="22" xr3:uid="{00000000-0010-0000-0400-000016000000}" name="Medilink" totalsRowFunction="sum" dataDxfId="905" totalsRowDxfId="904" dataCellStyle="Comma"/>
    <tableColumn id="23" xr3:uid="{00000000-0010-0000-0400-000017000000}" name="Medsol Healthcare Services Ltd" totalsRowFunction="sum" dataDxfId="903" totalsRowDxfId="902" dataCellStyle="Comma"/>
    <tableColumn id="24" xr3:uid="{00000000-0010-0000-0400-000018000000}" name="MHP" totalsRowFunction="sum" dataDxfId="901" totalsRowDxfId="900" dataCellStyle="Comma"/>
    <tableColumn id="25" xr3:uid="{00000000-0010-0000-0400-000019000000}" name="MSI Recruitment" totalsRowFunction="sum" dataDxfId="899" totalsRowDxfId="898" dataCellStyle="Comma"/>
    <tableColumn id="26" xr3:uid="{00000000-0010-0000-0400-00001A000000}" name="MSU" totalsRowFunction="sum" dataDxfId="897" totalsRowDxfId="896" dataCellStyle="Comma"/>
    <tableColumn id="27" xr3:uid="{00000000-0010-0000-0400-00001B000000}" name="NURSING 2000" totalsRowFunction="sum" dataDxfId="895" totalsRowDxfId="894" dataCellStyle="Comma"/>
    <tableColumn id="28" xr3:uid="{00000000-0010-0000-0400-00001C000000}" name="P E Global Healthcare" totalsRowFunction="sum" dataDxfId="893" totalsRowDxfId="892" dataCellStyle="Comma"/>
    <tableColumn id="29" xr3:uid="{00000000-0010-0000-0400-00001D000000}" name="PerTemps" totalsRowFunction="sum" dataDxfId="891" totalsRowDxfId="890" dataCellStyle="Comma"/>
    <tableColumn id="30" xr3:uid="{00000000-0010-0000-0400-00001E000000}" name="PSL RECRUITMENT" totalsRowFunction="sum" dataDxfId="889" totalsRowDxfId="888" dataCellStyle="Comma"/>
    <tableColumn id="31" xr3:uid="{00000000-0010-0000-0400-00001F000000}" name="Pulse" totalsRowFunction="sum" dataDxfId="887" totalsRowDxfId="886" dataCellStyle="Comma"/>
    <tableColumn id="32" xr3:uid="{00000000-0010-0000-0400-000020000000}" name="Redspot Care Ltd" totalsRowFunction="sum" dataDxfId="885" totalsRowDxfId="884" dataCellStyle="Comma"/>
    <tableColumn id="33" xr3:uid="{00000000-0010-0000-0400-000021000000}" name="Sanctuary" totalsRowFunction="sum" dataDxfId="883" totalsRowDxfId="882" dataCellStyle="Comma"/>
    <tableColumn id="34" xr3:uid="{00000000-0010-0000-0400-000022000000}" name="Sensible Staffing" totalsRowFunction="sum" dataDxfId="881" totalsRowDxfId="880" dataCellStyle="Comma"/>
    <tableColumn id="35" xr3:uid="{00000000-0010-0000-0400-000023000000}" name="Service Care Solutions" totalsRowFunction="sum" dataDxfId="879" totalsRowDxfId="878" dataCellStyle="Comma"/>
    <tableColumn id="36" xr3:uid="{00000000-0010-0000-0400-000024000000}" name="Seven Resoucing" totalsRowFunction="sum" dataDxfId="877" totalsRowDxfId="876" dataCellStyle="Comma"/>
    <tableColumn id="37" xr3:uid="{00000000-0010-0000-0400-000025000000}" name="Seven Social Care" totalsRowFunction="sum" dataDxfId="875" totalsRowDxfId="874" dataCellStyle="Comma"/>
    <tableColumn id="38" xr3:uid="{00000000-0010-0000-0400-000026000000}" name="TBC" totalsRowFunction="sum" dataDxfId="873" totalsRowDxfId="872" dataCellStyle="Comma"/>
    <tableColumn id="39" xr3:uid="{00000000-0010-0000-0400-000027000000}" name="The London Teaching Pool" totalsRowFunction="sum" dataDxfId="871" totalsRowDxfId="870" dataCellStyle="Comma"/>
    <tableColumn id="40" xr3:uid="{00000000-0010-0000-0400-000028000000}" name="Tripod" totalsRowFunction="sum" dataDxfId="869" totalsRowDxfId="868" dataCellStyle="Comma"/>
    <tableColumn id="41" xr3:uid="{00000000-0010-0000-0400-000029000000}" name="Unity Healthcare" totalsRowFunction="sum" dataDxfId="867" totalsRowDxfId="866" dataCellStyle="Comma"/>
    <tableColumn id="42" xr3:uid="{00000000-0010-0000-0400-00002A000000}" name="West Meria" totalsRowFunction="sum" dataDxfId="865" totalsRowDxfId="864" dataCellStyle="Comma"/>
    <tableColumn id="43" xr3:uid="{00000000-0010-0000-0400-00002B000000}" name="Your World" totalsRowFunction="sum" dataDxfId="863" totalsRowDxfId="862" dataCellStyle="Comma"/>
    <tableColumn id="44" xr3:uid="{00000000-0010-0000-0400-00002C000000}" name="Your World Healthcare" totalsRowFunction="sum" dataDxfId="861" totalsRowDxfId="860" dataCellStyle="Comma"/>
    <tableColumn id="45" xr3:uid="{00000000-0010-0000-0400-00002D000000}" name="Your World Nursing" totalsRowFunction="sum" dataDxfId="859" totalsRowDxfId="858" dataCellStyle="Comma"/>
    <tableColumn id="46" xr3:uid="{00000000-0010-0000-0400-00002E000000}" name="Your World Recruitment Ltd" totalsRowFunction="sum" dataDxfId="857" totalsRowDxfId="856" dataCellStyle="Comma"/>
    <tableColumn id="47" xr3:uid="{00000000-0010-0000-0400-00002F000000}" name="Grand Total" totalsRowFunction="sum" dataDxfId="855" totalsRowDxfId="854">
      <calculatedColumnFormula>SUM(A106:AU106)</calculatedColumnFormula>
    </tableColumn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5000000}" name="Table21" displayName="Table21" ref="B137:AV162" totalsRowCount="1" headerRowDxfId="853" dataDxfId="851" headerRowBorderDxfId="852">
  <autoFilter ref="B137:AV161" xr:uid="{00000000-0009-0000-0100-000014000000}"/>
  <tableColumns count="47">
    <tableColumn id="1" xr3:uid="{00000000-0010-0000-0500-000001000000}" name="Row Labels" totalsRowLabel="Total" dataDxfId="850" totalsRowDxfId="849" dataCellStyle="Comma"/>
    <tableColumn id="2" xr3:uid="{00000000-0010-0000-0500-000002000000}" name="3D Recruitment" totalsRowFunction="sum" dataDxfId="848" totalsRowDxfId="847" dataCellStyle="Comma"/>
    <tableColumn id="3" xr3:uid="{00000000-0010-0000-0500-000003000000}" name="App Locum" totalsRowFunction="sum" dataDxfId="846" totalsRowDxfId="845" dataCellStyle="Comma"/>
    <tableColumn id="4" xr3:uid="{00000000-0010-0000-0500-000004000000}" name="Athona" totalsRowFunction="sum" dataDxfId="844" totalsRowDxfId="843" dataCellStyle="Comma"/>
    <tableColumn id="5" xr3:uid="{00000000-0010-0000-0500-000005000000}" name="Beacon" totalsRowFunction="sum" dataDxfId="842" totalsRowDxfId="841" dataCellStyle="Comma"/>
    <tableColumn id="6" xr3:uid="{00000000-0010-0000-0500-000006000000}" name="Biggs Healthcare" totalsRowFunction="sum" dataDxfId="840" totalsRowDxfId="839" dataCellStyle="Comma"/>
    <tableColumn id="7" xr3:uid="{00000000-0010-0000-0500-000007000000}" name="Care Solutions" totalsRowFunction="sum" dataDxfId="838" totalsRowDxfId="837" dataCellStyle="Comma"/>
    <tableColumn id="8" xr3:uid="{00000000-0010-0000-0500-000008000000}" name="CES Locums" totalsRowFunction="sum" dataDxfId="836" totalsRowDxfId="835" dataCellStyle="Comma"/>
    <tableColumn id="9" xr3:uid="{00000000-0010-0000-0500-000009000000}" name="Chase Medical" totalsRowFunction="sum" dataDxfId="834" totalsRowDxfId="833" dataCellStyle="Comma"/>
    <tableColumn id="10" xr3:uid="{00000000-0010-0000-0500-00000A000000}" name="Day Webster" totalsRowFunction="sum" dataDxfId="832" totalsRowDxfId="831" dataCellStyle="Comma"/>
    <tableColumn id="11" xr3:uid="{00000000-0010-0000-0500-00000B000000}" name="DRC Locums" totalsRowFunction="sum" dataDxfId="830" totalsRowDxfId="829" dataCellStyle="Comma"/>
    <tableColumn id="12" xr3:uid="{00000000-0010-0000-0500-00000C000000}" name="Enviva Care" totalsRowFunction="sum" dataDxfId="828" totalsRowDxfId="827" dataCellStyle="Comma"/>
    <tableColumn id="13" xr3:uid="{00000000-0010-0000-0500-00000D000000}" name="HCL" totalsRowFunction="sum" dataDxfId="826" totalsRowDxfId="825" dataCellStyle="Comma"/>
    <tableColumn id="14" xr3:uid="{00000000-0010-0000-0500-00000E000000}" name="Hourglass" totalsRowFunction="sum" dataDxfId="824" totalsRowDxfId="823" dataCellStyle="Comma"/>
    <tableColumn id="15" xr3:uid="{00000000-0010-0000-0500-00000F000000}" name="Hunter Mental Health" totalsRowFunction="sum" dataDxfId="822" totalsRowDxfId="821" dataCellStyle="Comma"/>
    <tableColumn id="16" xr3:uid="{00000000-0010-0000-0500-000010000000}" name="ID Medical" totalsRowFunction="sum" dataDxfId="820" totalsRowDxfId="819" dataCellStyle="Comma"/>
    <tableColumn id="17" xr3:uid="{00000000-0010-0000-0500-000011000000}" name="IMC LOCUMS" totalsRowFunction="sum" dataDxfId="818" totalsRowDxfId="817" dataCellStyle="Comma"/>
    <tableColumn id="18" xr3:uid="{00000000-0010-0000-0500-000012000000}" name="Locummeds" totalsRowFunction="sum" dataDxfId="816" totalsRowDxfId="815" dataCellStyle="Comma"/>
    <tableColumn id="19" xr3:uid="{00000000-0010-0000-0500-000013000000}" name="Maxxima Ltd t/a Labmed Recruitment" totalsRowFunction="sum" dataDxfId="814" totalsRowDxfId="813" dataCellStyle="Comma"/>
    <tableColumn id="20" xr3:uid="{00000000-0010-0000-0500-000014000000}" name="Medicare Health Professional" totalsRowFunction="sum" dataDxfId="812" totalsRowDxfId="811" dataCellStyle="Comma"/>
    <tableColumn id="21" xr3:uid="{00000000-0010-0000-0500-000015000000}" name="Medicure Professional LTD" totalsRowFunction="sum" dataDxfId="810" totalsRowDxfId="809" dataCellStyle="Comma"/>
    <tableColumn id="22" xr3:uid="{00000000-0010-0000-0500-000016000000}" name="Medilink" totalsRowFunction="sum" dataDxfId="808" totalsRowDxfId="807" dataCellStyle="Comma"/>
    <tableColumn id="23" xr3:uid="{00000000-0010-0000-0500-000017000000}" name="Medsol Healthcare Services Ltd" totalsRowFunction="sum" dataDxfId="806" totalsRowDxfId="805" dataCellStyle="Comma"/>
    <tableColumn id="24" xr3:uid="{00000000-0010-0000-0500-000018000000}" name="MHP" totalsRowFunction="sum" dataDxfId="804" totalsRowDxfId="803" dataCellStyle="Comma"/>
    <tableColumn id="25" xr3:uid="{00000000-0010-0000-0500-000019000000}" name="MSI Recruitment" totalsRowFunction="sum" dataDxfId="802" totalsRowDxfId="801" dataCellStyle="Comma"/>
    <tableColumn id="26" xr3:uid="{00000000-0010-0000-0500-00001A000000}" name="MSU" totalsRowFunction="sum" dataDxfId="800" totalsRowDxfId="799" dataCellStyle="Comma"/>
    <tableColumn id="27" xr3:uid="{00000000-0010-0000-0500-00001B000000}" name="NURSING 2000" totalsRowFunction="sum" dataDxfId="798" totalsRowDxfId="797" dataCellStyle="Comma"/>
    <tableColumn id="28" xr3:uid="{00000000-0010-0000-0500-00001C000000}" name="P E Global Healthcare" totalsRowFunction="sum" dataDxfId="796" totalsRowDxfId="795" dataCellStyle="Comma"/>
    <tableColumn id="29" xr3:uid="{00000000-0010-0000-0500-00001D000000}" name="PerTemps" totalsRowFunction="sum" dataDxfId="794" totalsRowDxfId="793" dataCellStyle="Comma"/>
    <tableColumn id="30" xr3:uid="{00000000-0010-0000-0500-00001E000000}" name="PSL RECRUITMENT" totalsRowFunction="sum" dataDxfId="792" totalsRowDxfId="791" dataCellStyle="Comma"/>
    <tableColumn id="31" xr3:uid="{00000000-0010-0000-0500-00001F000000}" name="Pulse" totalsRowFunction="sum" dataDxfId="790" totalsRowDxfId="789" dataCellStyle="Comma"/>
    <tableColumn id="32" xr3:uid="{00000000-0010-0000-0500-000020000000}" name="Redspot Care Ltd" totalsRowFunction="sum" dataDxfId="788" totalsRowDxfId="787" dataCellStyle="Comma"/>
    <tableColumn id="33" xr3:uid="{00000000-0010-0000-0500-000021000000}" name="Sanctuary" totalsRowFunction="sum" dataDxfId="786" totalsRowDxfId="785" dataCellStyle="Comma"/>
    <tableColumn id="34" xr3:uid="{00000000-0010-0000-0500-000022000000}" name="Sensible Staffing" totalsRowFunction="sum" dataDxfId="784" totalsRowDxfId="783" dataCellStyle="Comma"/>
    <tableColumn id="35" xr3:uid="{00000000-0010-0000-0500-000023000000}" name="Service Care Solutions" totalsRowFunction="sum" dataDxfId="782" totalsRowDxfId="781" dataCellStyle="Comma"/>
    <tableColumn id="36" xr3:uid="{00000000-0010-0000-0500-000024000000}" name="Seven Resoucing" totalsRowFunction="sum" dataDxfId="780" totalsRowDxfId="779" dataCellStyle="Comma"/>
    <tableColumn id="37" xr3:uid="{00000000-0010-0000-0500-000025000000}" name="Seven Social Care" totalsRowFunction="sum" dataDxfId="778" totalsRowDxfId="777" dataCellStyle="Comma"/>
    <tableColumn id="38" xr3:uid="{00000000-0010-0000-0500-000026000000}" name="TBC" totalsRowFunction="sum" dataDxfId="776" totalsRowDxfId="775" dataCellStyle="Comma"/>
    <tableColumn id="39" xr3:uid="{00000000-0010-0000-0500-000027000000}" name="The London Teaching Pool" totalsRowFunction="sum" dataDxfId="774" totalsRowDxfId="773" dataCellStyle="Comma"/>
    <tableColumn id="40" xr3:uid="{00000000-0010-0000-0500-000028000000}" name="Tripod" totalsRowFunction="sum" dataDxfId="772" totalsRowDxfId="771" dataCellStyle="Comma"/>
    <tableColumn id="41" xr3:uid="{00000000-0010-0000-0500-000029000000}" name="Unity Healthcare" totalsRowFunction="sum" dataDxfId="770" totalsRowDxfId="769" dataCellStyle="Comma"/>
    <tableColumn id="42" xr3:uid="{00000000-0010-0000-0500-00002A000000}" name="West Meria" totalsRowFunction="sum" dataDxfId="768" totalsRowDxfId="767" dataCellStyle="Comma"/>
    <tableColumn id="43" xr3:uid="{00000000-0010-0000-0500-00002B000000}" name="Your World" totalsRowFunction="sum" dataDxfId="766" totalsRowDxfId="765" dataCellStyle="Comma"/>
    <tableColumn id="44" xr3:uid="{00000000-0010-0000-0500-00002C000000}" name="Your World Healthcare" totalsRowFunction="sum" dataDxfId="764" totalsRowDxfId="763" dataCellStyle="Comma"/>
    <tableColumn id="45" xr3:uid="{00000000-0010-0000-0500-00002D000000}" name="Your World Nursing" totalsRowFunction="sum" dataDxfId="762" totalsRowDxfId="761" dataCellStyle="Comma"/>
    <tableColumn id="46" xr3:uid="{00000000-0010-0000-0500-00002E000000}" name="Your World Recruitment Ltd" totalsRowFunction="sum" dataDxfId="760" totalsRowDxfId="759" dataCellStyle="Comma"/>
    <tableColumn id="47" xr3:uid="{00000000-0010-0000-0500-00002F000000}" name="Grand Total" totalsRowFunction="sum" dataDxfId="758" totalsRowDxfId="757">
      <calculatedColumnFormula>SUM(A138:AU138)</calculatedColumnFormula>
    </tableColumn>
  </tableColumns>
  <tableStyleInfo name="TableStyleLight2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6000000}" name="Table22" displayName="Table22" ref="B164:AV192" totalsRowCount="1" headerRowDxfId="756" dataDxfId="754" headerRowBorderDxfId="755">
  <autoFilter ref="B164:AV191" xr:uid="{00000000-0009-0000-0100-000015000000}"/>
  <tableColumns count="47">
    <tableColumn id="1" xr3:uid="{00000000-0010-0000-0600-000001000000}" name="Row Labels" totalsRowLabel="Total" dataDxfId="753" totalsRowDxfId="752" dataCellStyle="Comma"/>
    <tableColumn id="2" xr3:uid="{00000000-0010-0000-0600-000002000000}" name="3D Recruitment" totalsRowFunction="sum" dataDxfId="751" totalsRowDxfId="750" dataCellStyle="Comma"/>
    <tableColumn id="3" xr3:uid="{00000000-0010-0000-0600-000003000000}" name="App Locum" totalsRowFunction="sum" dataDxfId="749" totalsRowDxfId="748" dataCellStyle="Comma"/>
    <tableColumn id="4" xr3:uid="{00000000-0010-0000-0600-000004000000}" name="Athona" totalsRowFunction="sum" dataDxfId="747" totalsRowDxfId="746" dataCellStyle="Comma"/>
    <tableColumn id="5" xr3:uid="{00000000-0010-0000-0600-000005000000}" name="Beacon" totalsRowFunction="sum" dataDxfId="745" totalsRowDxfId="744" dataCellStyle="Comma"/>
    <tableColumn id="6" xr3:uid="{00000000-0010-0000-0600-000006000000}" name="Biggs Healthcare" totalsRowFunction="sum" dataDxfId="743" totalsRowDxfId="742" dataCellStyle="Comma"/>
    <tableColumn id="7" xr3:uid="{00000000-0010-0000-0600-000007000000}" name="Care Solutions" totalsRowFunction="sum" dataDxfId="741" totalsRowDxfId="740" dataCellStyle="Comma"/>
    <tableColumn id="8" xr3:uid="{00000000-0010-0000-0600-000008000000}" name="CES Locums" totalsRowFunction="sum" dataDxfId="739" totalsRowDxfId="738" dataCellStyle="Comma"/>
    <tableColumn id="9" xr3:uid="{00000000-0010-0000-0600-000009000000}" name="Chase Medical" totalsRowFunction="sum" dataDxfId="737" totalsRowDxfId="736" dataCellStyle="Comma"/>
    <tableColumn id="10" xr3:uid="{00000000-0010-0000-0600-00000A000000}" name="Day Webster" totalsRowFunction="sum" dataDxfId="735" totalsRowDxfId="734" dataCellStyle="Comma"/>
    <tableColumn id="11" xr3:uid="{00000000-0010-0000-0600-00000B000000}" name="DRC Locums" totalsRowFunction="sum" dataDxfId="733" totalsRowDxfId="732" dataCellStyle="Comma"/>
    <tableColumn id="12" xr3:uid="{00000000-0010-0000-0600-00000C000000}" name="Enviva Care" totalsRowFunction="sum" dataDxfId="731" totalsRowDxfId="730" dataCellStyle="Comma"/>
    <tableColumn id="13" xr3:uid="{00000000-0010-0000-0600-00000D000000}" name="HCL" totalsRowFunction="sum" dataDxfId="729" totalsRowDxfId="728" dataCellStyle="Comma"/>
    <tableColumn id="14" xr3:uid="{00000000-0010-0000-0600-00000E000000}" name="Hourglass" totalsRowFunction="sum" dataDxfId="727" totalsRowDxfId="726" dataCellStyle="Comma"/>
    <tableColumn id="15" xr3:uid="{00000000-0010-0000-0600-00000F000000}" name="Hunter Mental Health" totalsRowFunction="sum" dataDxfId="725" totalsRowDxfId="724" dataCellStyle="Comma"/>
    <tableColumn id="16" xr3:uid="{00000000-0010-0000-0600-000010000000}" name="ID Medical" totalsRowFunction="sum" dataDxfId="723" totalsRowDxfId="722" dataCellStyle="Comma"/>
    <tableColumn id="17" xr3:uid="{00000000-0010-0000-0600-000011000000}" name="IMC LOCUMS" totalsRowFunction="sum" dataDxfId="721" totalsRowDxfId="720" dataCellStyle="Comma"/>
    <tableColumn id="18" xr3:uid="{00000000-0010-0000-0600-000012000000}" name="Locummeds" totalsRowFunction="sum" dataDxfId="719" totalsRowDxfId="718" dataCellStyle="Comma"/>
    <tableColumn id="19" xr3:uid="{00000000-0010-0000-0600-000013000000}" name="Maxxima Ltd t/a Labmed Recruitment" totalsRowFunction="sum" dataDxfId="717" totalsRowDxfId="716" dataCellStyle="Comma"/>
    <tableColumn id="20" xr3:uid="{00000000-0010-0000-0600-000014000000}" name="Medicare Health Professional" totalsRowFunction="sum" dataDxfId="715" totalsRowDxfId="714" dataCellStyle="Comma"/>
    <tableColumn id="21" xr3:uid="{00000000-0010-0000-0600-000015000000}" name="Medicure Professional LTD" totalsRowFunction="sum" dataDxfId="713" totalsRowDxfId="712" dataCellStyle="Comma"/>
    <tableColumn id="22" xr3:uid="{00000000-0010-0000-0600-000016000000}" name="Medilink" totalsRowFunction="sum" dataDxfId="711" totalsRowDxfId="710" dataCellStyle="Comma"/>
    <tableColumn id="23" xr3:uid="{00000000-0010-0000-0600-000017000000}" name="Medsol Healthcare Services Ltd" totalsRowFunction="sum" dataDxfId="709" totalsRowDxfId="708" dataCellStyle="Comma"/>
    <tableColumn id="24" xr3:uid="{00000000-0010-0000-0600-000018000000}" name="MHP" totalsRowFunction="sum" dataDxfId="707" totalsRowDxfId="706" dataCellStyle="Comma"/>
    <tableColumn id="25" xr3:uid="{00000000-0010-0000-0600-000019000000}" name="MSI Recruitment" totalsRowFunction="sum" dataDxfId="705" totalsRowDxfId="704" dataCellStyle="Comma"/>
    <tableColumn id="26" xr3:uid="{00000000-0010-0000-0600-00001A000000}" name="MSU" totalsRowFunction="sum" dataDxfId="703" totalsRowDxfId="702" dataCellStyle="Comma"/>
    <tableColumn id="27" xr3:uid="{00000000-0010-0000-0600-00001B000000}" name="NURSING 2000" totalsRowFunction="sum" dataDxfId="701" totalsRowDxfId="700" dataCellStyle="Comma"/>
    <tableColumn id="28" xr3:uid="{00000000-0010-0000-0600-00001C000000}" name="P E Global Healthcare" totalsRowFunction="sum" dataDxfId="699" totalsRowDxfId="698" dataCellStyle="Comma"/>
    <tableColumn id="29" xr3:uid="{00000000-0010-0000-0600-00001D000000}" name="PerTemps" totalsRowFunction="sum" dataDxfId="697" totalsRowDxfId="696" dataCellStyle="Comma"/>
    <tableColumn id="30" xr3:uid="{00000000-0010-0000-0600-00001E000000}" name="PSL RECRUITMENT" totalsRowFunction="sum" dataDxfId="695" totalsRowDxfId="694" dataCellStyle="Comma"/>
    <tableColumn id="31" xr3:uid="{00000000-0010-0000-0600-00001F000000}" name="Pulse" totalsRowFunction="sum" dataDxfId="693" totalsRowDxfId="692" dataCellStyle="Comma"/>
    <tableColumn id="32" xr3:uid="{00000000-0010-0000-0600-000020000000}" name="Redspot Care Ltd" totalsRowFunction="sum" dataDxfId="691" totalsRowDxfId="690" dataCellStyle="Comma"/>
    <tableColumn id="33" xr3:uid="{00000000-0010-0000-0600-000021000000}" name="Sanctuary" totalsRowFunction="sum" dataDxfId="689" totalsRowDxfId="688" dataCellStyle="Comma"/>
    <tableColumn id="34" xr3:uid="{00000000-0010-0000-0600-000022000000}" name="Sensible Staffing" totalsRowFunction="sum" dataDxfId="687" totalsRowDxfId="686" dataCellStyle="Comma"/>
    <tableColumn id="35" xr3:uid="{00000000-0010-0000-0600-000023000000}" name="Service Care Solutions" totalsRowFunction="sum" dataDxfId="685" totalsRowDxfId="684" dataCellStyle="Comma"/>
    <tableColumn id="36" xr3:uid="{00000000-0010-0000-0600-000024000000}" name="Seven Resoucing" totalsRowFunction="sum" dataDxfId="683" totalsRowDxfId="682" dataCellStyle="Comma"/>
    <tableColumn id="37" xr3:uid="{00000000-0010-0000-0600-000025000000}" name="Seven Social Care" totalsRowFunction="sum" dataDxfId="681" totalsRowDxfId="680" dataCellStyle="Comma"/>
    <tableColumn id="38" xr3:uid="{00000000-0010-0000-0600-000026000000}" name="TBC" totalsRowFunction="sum" dataDxfId="679" totalsRowDxfId="678" dataCellStyle="Comma"/>
    <tableColumn id="39" xr3:uid="{00000000-0010-0000-0600-000027000000}" name="The London Teaching Pool" totalsRowFunction="sum" dataDxfId="677" totalsRowDxfId="676" dataCellStyle="Comma"/>
    <tableColumn id="40" xr3:uid="{00000000-0010-0000-0600-000028000000}" name="Tripod" totalsRowFunction="sum" dataDxfId="675" totalsRowDxfId="674" dataCellStyle="Comma"/>
    <tableColumn id="41" xr3:uid="{00000000-0010-0000-0600-000029000000}" name="Unity Healthcare" totalsRowFunction="sum" dataDxfId="673" totalsRowDxfId="672" dataCellStyle="Comma"/>
    <tableColumn id="42" xr3:uid="{00000000-0010-0000-0600-00002A000000}" name="West Meria" totalsRowFunction="sum" dataDxfId="671" totalsRowDxfId="670" dataCellStyle="Comma"/>
    <tableColumn id="43" xr3:uid="{00000000-0010-0000-0600-00002B000000}" name="Your World" totalsRowFunction="sum" dataDxfId="669" totalsRowDxfId="668" dataCellStyle="Comma"/>
    <tableColumn id="44" xr3:uid="{00000000-0010-0000-0600-00002C000000}" name="Your World Healthcare" totalsRowFunction="sum" dataDxfId="667" totalsRowDxfId="666" dataCellStyle="Comma"/>
    <tableColumn id="45" xr3:uid="{00000000-0010-0000-0600-00002D000000}" name="Your World Nursing" totalsRowFunction="sum" dataDxfId="665" totalsRowDxfId="664" dataCellStyle="Comma"/>
    <tableColumn id="46" xr3:uid="{00000000-0010-0000-0600-00002E000000}" name="Your World Recruitment Ltd" totalsRowFunction="sum" dataDxfId="663" totalsRowDxfId="662" dataCellStyle="Comma"/>
    <tableColumn id="47" xr3:uid="{00000000-0010-0000-0600-00002F000000}" name="Grand Total" totalsRowFunction="sum" dataDxfId="661" totalsRowDxfId="660">
      <calculatedColumnFormula>SUM(A165:AU165)</calculatedColumnFormula>
    </tableColumn>
  </tableColumns>
  <tableStyleInfo name="TableStyleLight2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7000000}" name="Table23" displayName="Table23" ref="B307:AV328" totalsRowCount="1" headerRowDxfId="659" dataDxfId="657" headerRowBorderDxfId="658">
  <autoFilter ref="B307:AV327" xr:uid="{00000000-0009-0000-0100-000017000000}"/>
  <tableColumns count="47">
    <tableColumn id="1" xr3:uid="{00000000-0010-0000-0700-000001000000}" name="Row Labels" totalsRowLabel="Total" dataDxfId="656" totalsRowDxfId="655" dataCellStyle="Comma"/>
    <tableColumn id="2" xr3:uid="{00000000-0010-0000-0700-000002000000}" name="3D Recruitment" totalsRowFunction="sum" dataDxfId="654" totalsRowDxfId="653" dataCellStyle="Comma"/>
    <tableColumn id="3" xr3:uid="{00000000-0010-0000-0700-000003000000}" name="App Locum" totalsRowFunction="sum" dataDxfId="652" totalsRowDxfId="651" dataCellStyle="Comma"/>
    <tableColumn id="4" xr3:uid="{00000000-0010-0000-0700-000004000000}" name="Athona" totalsRowFunction="sum" dataDxfId="650" totalsRowDxfId="649" dataCellStyle="Comma"/>
    <tableColumn id="5" xr3:uid="{00000000-0010-0000-0700-000005000000}" name="Beacon" totalsRowFunction="sum" dataDxfId="648" totalsRowDxfId="647" dataCellStyle="Comma"/>
    <tableColumn id="6" xr3:uid="{00000000-0010-0000-0700-000006000000}" name="Biggs Healthcare" totalsRowFunction="sum" dataDxfId="646" totalsRowDxfId="645" dataCellStyle="Comma"/>
    <tableColumn id="7" xr3:uid="{00000000-0010-0000-0700-000007000000}" name="Care Solutions" totalsRowFunction="sum" dataDxfId="644" totalsRowDxfId="643" dataCellStyle="Comma"/>
    <tableColumn id="8" xr3:uid="{00000000-0010-0000-0700-000008000000}" name="CES Locums" totalsRowFunction="sum" dataDxfId="642" totalsRowDxfId="641" dataCellStyle="Comma"/>
    <tableColumn id="9" xr3:uid="{00000000-0010-0000-0700-000009000000}" name="Chase Medical" totalsRowFunction="sum" dataDxfId="640" totalsRowDxfId="639" dataCellStyle="Comma"/>
    <tableColumn id="10" xr3:uid="{00000000-0010-0000-0700-00000A000000}" name="Day Webster" totalsRowFunction="sum" dataDxfId="638" totalsRowDxfId="637" dataCellStyle="Comma"/>
    <tableColumn id="11" xr3:uid="{00000000-0010-0000-0700-00000B000000}" name="DRC Locums" totalsRowFunction="sum" dataDxfId="636" totalsRowDxfId="635" dataCellStyle="Comma"/>
    <tableColumn id="12" xr3:uid="{00000000-0010-0000-0700-00000C000000}" name="Enviva Care" totalsRowFunction="sum" dataDxfId="634" totalsRowDxfId="633" dataCellStyle="Comma"/>
    <tableColumn id="13" xr3:uid="{00000000-0010-0000-0700-00000D000000}" name="HCL" totalsRowFunction="sum" dataDxfId="632" totalsRowDxfId="631" dataCellStyle="Comma"/>
    <tableColumn id="14" xr3:uid="{00000000-0010-0000-0700-00000E000000}" name="Hourglass" totalsRowFunction="sum" dataDxfId="630" totalsRowDxfId="629" dataCellStyle="Comma"/>
    <tableColumn id="15" xr3:uid="{00000000-0010-0000-0700-00000F000000}" name="Hunter Mental Health" totalsRowFunction="sum" dataDxfId="628" totalsRowDxfId="627" dataCellStyle="Comma"/>
    <tableColumn id="16" xr3:uid="{00000000-0010-0000-0700-000010000000}" name="ID Medical" totalsRowFunction="sum" dataDxfId="626" totalsRowDxfId="625" dataCellStyle="Comma"/>
    <tableColumn id="17" xr3:uid="{00000000-0010-0000-0700-000011000000}" name="IMC LOCUMS" totalsRowFunction="sum" dataDxfId="624" totalsRowDxfId="623" dataCellStyle="Comma"/>
    <tableColumn id="18" xr3:uid="{00000000-0010-0000-0700-000012000000}" name="Locummeds" totalsRowFunction="sum" dataDxfId="622" totalsRowDxfId="621" dataCellStyle="Comma"/>
    <tableColumn id="19" xr3:uid="{00000000-0010-0000-0700-000013000000}" name="Maxxima Ltd t/a Labmed Recruitment" totalsRowFunction="sum" dataDxfId="620" totalsRowDxfId="619" dataCellStyle="Comma"/>
    <tableColumn id="20" xr3:uid="{00000000-0010-0000-0700-000014000000}" name="Medicare Health Professional" totalsRowFunction="sum" dataDxfId="618" totalsRowDxfId="617" dataCellStyle="Comma"/>
    <tableColumn id="21" xr3:uid="{00000000-0010-0000-0700-000015000000}" name="Medicure Professional LTD" totalsRowFunction="sum" dataDxfId="616" totalsRowDxfId="615" dataCellStyle="Comma"/>
    <tableColumn id="22" xr3:uid="{00000000-0010-0000-0700-000016000000}" name="Medilink" totalsRowFunction="sum" dataDxfId="614" totalsRowDxfId="613" dataCellStyle="Comma"/>
    <tableColumn id="23" xr3:uid="{00000000-0010-0000-0700-000017000000}" name="Medsol Healthcare Services Ltd" totalsRowFunction="sum" dataDxfId="612" totalsRowDxfId="611" dataCellStyle="Comma"/>
    <tableColumn id="24" xr3:uid="{00000000-0010-0000-0700-000018000000}" name="MHP" totalsRowFunction="sum" dataDxfId="610" totalsRowDxfId="609" dataCellStyle="Comma"/>
    <tableColumn id="25" xr3:uid="{00000000-0010-0000-0700-000019000000}" name="MSI Recruitment" totalsRowFunction="sum" dataDxfId="608" totalsRowDxfId="607" dataCellStyle="Comma"/>
    <tableColumn id="26" xr3:uid="{00000000-0010-0000-0700-00001A000000}" name="MSU" totalsRowFunction="sum" dataDxfId="606" totalsRowDxfId="605" dataCellStyle="Comma"/>
    <tableColumn id="27" xr3:uid="{00000000-0010-0000-0700-00001B000000}" name="NURSING 2000" totalsRowFunction="sum" dataDxfId="604" totalsRowDxfId="603" dataCellStyle="Comma"/>
    <tableColumn id="28" xr3:uid="{00000000-0010-0000-0700-00001C000000}" name="P E Global Healthcare" totalsRowFunction="sum" dataDxfId="602" totalsRowDxfId="601" dataCellStyle="Comma"/>
    <tableColumn id="29" xr3:uid="{00000000-0010-0000-0700-00001D000000}" name="PerTemps" totalsRowFunction="sum" dataDxfId="600" totalsRowDxfId="599" dataCellStyle="Comma"/>
    <tableColumn id="30" xr3:uid="{00000000-0010-0000-0700-00001E000000}" name="PSL RECRUITMENT" totalsRowFunction="sum" dataDxfId="598" totalsRowDxfId="597" dataCellStyle="Comma"/>
    <tableColumn id="31" xr3:uid="{00000000-0010-0000-0700-00001F000000}" name="Pulse" totalsRowFunction="sum" dataDxfId="596" totalsRowDxfId="595" dataCellStyle="Comma"/>
    <tableColumn id="32" xr3:uid="{00000000-0010-0000-0700-000020000000}" name="Redspot Care Ltd" totalsRowFunction="sum" dataDxfId="594" totalsRowDxfId="593" dataCellStyle="Comma"/>
    <tableColumn id="33" xr3:uid="{00000000-0010-0000-0700-000021000000}" name="Sanctuary" totalsRowFunction="sum" dataDxfId="592" totalsRowDxfId="591" dataCellStyle="Comma"/>
    <tableColumn id="34" xr3:uid="{00000000-0010-0000-0700-000022000000}" name="Sensible Staffing" totalsRowFunction="sum" dataDxfId="590" totalsRowDxfId="589" dataCellStyle="Comma"/>
    <tableColumn id="35" xr3:uid="{00000000-0010-0000-0700-000023000000}" name="Service Care Solutions" totalsRowFunction="sum" dataDxfId="588" totalsRowDxfId="587" dataCellStyle="Comma"/>
    <tableColumn id="36" xr3:uid="{00000000-0010-0000-0700-000024000000}" name="Seven Resoucing" totalsRowFunction="sum" dataDxfId="586" totalsRowDxfId="585" dataCellStyle="Comma"/>
    <tableColumn id="37" xr3:uid="{00000000-0010-0000-0700-000025000000}" name="Seven Social Care" totalsRowFunction="sum" dataDxfId="584" totalsRowDxfId="583" dataCellStyle="Comma"/>
    <tableColumn id="38" xr3:uid="{00000000-0010-0000-0700-000026000000}" name="TBC" totalsRowFunction="sum" dataDxfId="582" totalsRowDxfId="581" dataCellStyle="Comma"/>
    <tableColumn id="39" xr3:uid="{00000000-0010-0000-0700-000027000000}" name="The London Teaching Pool" totalsRowFunction="sum" dataDxfId="580" totalsRowDxfId="579" dataCellStyle="Comma"/>
    <tableColumn id="40" xr3:uid="{00000000-0010-0000-0700-000028000000}" name="Tripod" totalsRowFunction="sum" dataDxfId="578" totalsRowDxfId="577" dataCellStyle="Comma"/>
    <tableColumn id="41" xr3:uid="{00000000-0010-0000-0700-000029000000}" name="Unity Healthcare" totalsRowFunction="sum" dataDxfId="576" totalsRowDxfId="575" dataCellStyle="Comma"/>
    <tableColumn id="42" xr3:uid="{00000000-0010-0000-0700-00002A000000}" name="West Meria" totalsRowFunction="sum" dataDxfId="574" totalsRowDxfId="573" dataCellStyle="Comma"/>
    <tableColumn id="43" xr3:uid="{00000000-0010-0000-0700-00002B000000}" name="Your World" totalsRowFunction="sum" dataDxfId="572" totalsRowDxfId="571" dataCellStyle="Comma"/>
    <tableColumn id="44" xr3:uid="{00000000-0010-0000-0700-00002C000000}" name="Your World Healthcare" totalsRowFunction="sum" dataDxfId="570" totalsRowDxfId="569" dataCellStyle="Comma"/>
    <tableColumn id="45" xr3:uid="{00000000-0010-0000-0700-00002D000000}" name="Your World Nursing" totalsRowFunction="sum" dataDxfId="568" totalsRowDxfId="567" dataCellStyle="Comma"/>
    <tableColumn id="46" xr3:uid="{00000000-0010-0000-0700-00002E000000}" name="Your World Recruitment Ltd" totalsRowFunction="sum" dataDxfId="566" totalsRowDxfId="565" dataCellStyle="Comma"/>
    <tableColumn id="47" xr3:uid="{00000000-0010-0000-0700-00002F000000}" name="Grand Total" totalsRowFunction="sum" dataDxfId="564" totalsRowDxfId="563">
      <calculatedColumnFormula>SUM(A308:AU308)</calculatedColumnFormula>
    </tableColumn>
  </tableColumns>
  <tableStyleInfo name="TableStyleLight2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8000000}" name="Table24" displayName="Table24" ref="B277:AV305" totalsRowCount="1" headerRowDxfId="562" dataDxfId="560" headerRowBorderDxfId="561">
  <autoFilter ref="B277:AV304" xr:uid="{00000000-0009-0000-0100-000018000000}"/>
  <tableColumns count="47">
    <tableColumn id="1" xr3:uid="{00000000-0010-0000-0800-000001000000}" name="Row Labels" totalsRowLabel="Total" dataDxfId="559" totalsRowDxfId="558" dataCellStyle="Comma"/>
    <tableColumn id="2" xr3:uid="{00000000-0010-0000-0800-000002000000}" name="3D Recruitment" totalsRowFunction="sum" dataDxfId="557" totalsRowDxfId="556" dataCellStyle="Comma"/>
    <tableColumn id="3" xr3:uid="{00000000-0010-0000-0800-000003000000}" name="App Locum" totalsRowFunction="sum" dataDxfId="555" totalsRowDxfId="554" dataCellStyle="Comma"/>
    <tableColumn id="4" xr3:uid="{00000000-0010-0000-0800-000004000000}" name="Athona" totalsRowFunction="sum" dataDxfId="553" totalsRowDxfId="552" dataCellStyle="Comma"/>
    <tableColumn id="5" xr3:uid="{00000000-0010-0000-0800-000005000000}" name="Beacon" totalsRowFunction="sum" dataDxfId="551" totalsRowDxfId="550" dataCellStyle="Comma"/>
    <tableColumn id="6" xr3:uid="{00000000-0010-0000-0800-000006000000}" name="Biggs Healthcare" totalsRowFunction="sum" dataDxfId="549" totalsRowDxfId="548" dataCellStyle="Comma"/>
    <tableColumn id="7" xr3:uid="{00000000-0010-0000-0800-000007000000}" name="Care Solutions" totalsRowFunction="sum" dataDxfId="547" totalsRowDxfId="546" dataCellStyle="Comma"/>
    <tableColumn id="8" xr3:uid="{00000000-0010-0000-0800-000008000000}" name="CES Locums" totalsRowFunction="sum" dataDxfId="545" totalsRowDxfId="544" dataCellStyle="Comma"/>
    <tableColumn id="9" xr3:uid="{00000000-0010-0000-0800-000009000000}" name="Chase Medical" totalsRowFunction="sum" dataDxfId="543" totalsRowDxfId="542" dataCellStyle="Comma"/>
    <tableColumn id="10" xr3:uid="{00000000-0010-0000-0800-00000A000000}" name="Day Webster" totalsRowFunction="sum" dataDxfId="541" totalsRowDxfId="540" dataCellStyle="Comma"/>
    <tableColumn id="11" xr3:uid="{00000000-0010-0000-0800-00000B000000}" name="DRC Locums" totalsRowFunction="sum" dataDxfId="539" totalsRowDxfId="538" dataCellStyle="Comma"/>
    <tableColumn id="12" xr3:uid="{00000000-0010-0000-0800-00000C000000}" name="Enviva Care" totalsRowFunction="sum" dataDxfId="537" totalsRowDxfId="536" dataCellStyle="Comma"/>
    <tableColumn id="13" xr3:uid="{00000000-0010-0000-0800-00000D000000}" name="HCL" totalsRowFunction="sum" dataDxfId="535" totalsRowDxfId="534" dataCellStyle="Comma"/>
    <tableColumn id="14" xr3:uid="{00000000-0010-0000-0800-00000E000000}" name="Hourglass" totalsRowFunction="sum" dataDxfId="533" totalsRowDxfId="532" dataCellStyle="Comma"/>
    <tableColumn id="15" xr3:uid="{00000000-0010-0000-0800-00000F000000}" name="Hunter Mental Health" totalsRowFunction="sum" dataDxfId="531" totalsRowDxfId="530" dataCellStyle="Comma"/>
    <tableColumn id="16" xr3:uid="{00000000-0010-0000-0800-000010000000}" name="ID Medical" totalsRowFunction="sum" dataDxfId="529" totalsRowDxfId="528" dataCellStyle="Comma"/>
    <tableColumn id="17" xr3:uid="{00000000-0010-0000-0800-000011000000}" name="IMC LOCUMS" totalsRowFunction="sum" dataDxfId="527" totalsRowDxfId="526" dataCellStyle="Comma"/>
    <tableColumn id="18" xr3:uid="{00000000-0010-0000-0800-000012000000}" name="Locummeds" totalsRowFunction="sum" dataDxfId="525" totalsRowDxfId="524" dataCellStyle="Comma"/>
    <tableColumn id="19" xr3:uid="{00000000-0010-0000-0800-000013000000}" name="Maxxima Ltd t/a Labmed Recruitment" totalsRowFunction="sum" dataDxfId="523" totalsRowDxfId="522" dataCellStyle="Comma"/>
    <tableColumn id="20" xr3:uid="{00000000-0010-0000-0800-000014000000}" name="Medicare Health Professional" totalsRowFunction="sum" dataDxfId="521" totalsRowDxfId="520" dataCellStyle="Comma"/>
    <tableColumn id="21" xr3:uid="{00000000-0010-0000-0800-000015000000}" name="Medicure Professional LTD" totalsRowFunction="sum" dataDxfId="519" totalsRowDxfId="518" dataCellStyle="Comma"/>
    <tableColumn id="22" xr3:uid="{00000000-0010-0000-0800-000016000000}" name="Medilink" totalsRowFunction="sum" dataDxfId="517" totalsRowDxfId="516" dataCellStyle="Comma"/>
    <tableColumn id="23" xr3:uid="{00000000-0010-0000-0800-000017000000}" name="Medsol Healthcare Services Ltd" totalsRowFunction="sum" dataDxfId="515" totalsRowDxfId="514" dataCellStyle="Comma"/>
    <tableColumn id="24" xr3:uid="{00000000-0010-0000-0800-000018000000}" name="MHP" totalsRowFunction="sum" dataDxfId="513" totalsRowDxfId="512" dataCellStyle="Comma"/>
    <tableColumn id="25" xr3:uid="{00000000-0010-0000-0800-000019000000}" name="MSI Recruitment" totalsRowFunction="sum" dataDxfId="511" totalsRowDxfId="510" dataCellStyle="Comma"/>
    <tableColumn id="26" xr3:uid="{00000000-0010-0000-0800-00001A000000}" name="MSU" totalsRowFunction="sum" dataDxfId="509" totalsRowDxfId="508" dataCellStyle="Comma"/>
    <tableColumn id="27" xr3:uid="{00000000-0010-0000-0800-00001B000000}" name="NURSING 2000" totalsRowFunction="sum" dataDxfId="507" totalsRowDxfId="506" dataCellStyle="Comma"/>
    <tableColumn id="28" xr3:uid="{00000000-0010-0000-0800-00001C000000}" name="P E Global Healthcare" totalsRowFunction="sum" dataDxfId="505" totalsRowDxfId="504" dataCellStyle="Comma"/>
    <tableColumn id="29" xr3:uid="{00000000-0010-0000-0800-00001D000000}" name="PerTemps" totalsRowFunction="sum" dataDxfId="503" totalsRowDxfId="502" dataCellStyle="Comma"/>
    <tableColumn id="30" xr3:uid="{00000000-0010-0000-0800-00001E000000}" name="PSL RECRUITMENT" totalsRowFunction="sum" dataDxfId="501" totalsRowDxfId="500" dataCellStyle="Comma"/>
    <tableColumn id="31" xr3:uid="{00000000-0010-0000-0800-00001F000000}" name="Pulse" totalsRowFunction="sum" dataDxfId="499" totalsRowDxfId="498" dataCellStyle="Comma"/>
    <tableColumn id="32" xr3:uid="{00000000-0010-0000-0800-000020000000}" name="Redspot Care Ltd" totalsRowFunction="sum" dataDxfId="497" totalsRowDxfId="496" dataCellStyle="Comma"/>
    <tableColumn id="33" xr3:uid="{00000000-0010-0000-0800-000021000000}" name="Sanctuary" totalsRowFunction="sum" dataDxfId="495" totalsRowDxfId="494" dataCellStyle="Comma"/>
    <tableColumn id="34" xr3:uid="{00000000-0010-0000-0800-000022000000}" name="Sensible Staffing" totalsRowFunction="sum" dataDxfId="493" totalsRowDxfId="492" dataCellStyle="Comma"/>
    <tableColumn id="35" xr3:uid="{00000000-0010-0000-0800-000023000000}" name="Service Care Solutions" totalsRowFunction="sum" dataDxfId="491" totalsRowDxfId="490" dataCellStyle="Comma"/>
    <tableColumn id="36" xr3:uid="{00000000-0010-0000-0800-000024000000}" name="Seven Resoucing" totalsRowFunction="sum" dataDxfId="489" totalsRowDxfId="488" dataCellStyle="Comma"/>
    <tableColumn id="37" xr3:uid="{00000000-0010-0000-0800-000025000000}" name="Seven Social Care" totalsRowFunction="sum" dataDxfId="487" totalsRowDxfId="486" dataCellStyle="Comma"/>
    <tableColumn id="38" xr3:uid="{00000000-0010-0000-0800-000026000000}" name="TBC" totalsRowFunction="sum" dataDxfId="485" totalsRowDxfId="484" dataCellStyle="Comma"/>
    <tableColumn id="39" xr3:uid="{00000000-0010-0000-0800-000027000000}" name="The London Teaching Pool" totalsRowFunction="sum" dataDxfId="483" totalsRowDxfId="482" dataCellStyle="Comma"/>
    <tableColumn id="40" xr3:uid="{00000000-0010-0000-0800-000028000000}" name="Tripod" totalsRowFunction="sum" dataDxfId="481" totalsRowDxfId="480" dataCellStyle="Comma"/>
    <tableColumn id="41" xr3:uid="{00000000-0010-0000-0800-000029000000}" name="Unity Healthcare" totalsRowFunction="sum" dataDxfId="479" totalsRowDxfId="478" dataCellStyle="Comma"/>
    <tableColumn id="42" xr3:uid="{00000000-0010-0000-0800-00002A000000}" name="West Meria" totalsRowFunction="sum" dataDxfId="477" totalsRowDxfId="476" dataCellStyle="Comma"/>
    <tableColumn id="43" xr3:uid="{00000000-0010-0000-0800-00002B000000}" name="Your World" totalsRowFunction="sum" dataDxfId="475" totalsRowDxfId="474" dataCellStyle="Comma"/>
    <tableColumn id="44" xr3:uid="{00000000-0010-0000-0800-00002C000000}" name="Your World Healthcare" totalsRowFunction="sum" dataDxfId="473" totalsRowDxfId="472" dataCellStyle="Comma"/>
    <tableColumn id="45" xr3:uid="{00000000-0010-0000-0800-00002D000000}" name="Your World Nursing" totalsRowFunction="sum" dataDxfId="471" totalsRowDxfId="470" dataCellStyle="Comma"/>
    <tableColumn id="46" xr3:uid="{00000000-0010-0000-0800-00002E000000}" name="Your World Recruitment Ltd" totalsRowFunction="sum" dataDxfId="469" totalsRowDxfId="468" dataCellStyle="Comma">
      <calculatedColumnFormula>2528.64+1022.69</calculatedColumnFormula>
    </tableColumn>
    <tableColumn id="47" xr3:uid="{00000000-0010-0000-0800-00002F000000}" name="Grand Total" totalsRowFunction="sum" dataDxfId="467" totalsRowDxfId="466">
      <calculatedColumnFormula>SUM(A278:AU278)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0.xml"/><Relationship Id="rId13" Type="http://schemas.openxmlformats.org/officeDocument/2006/relationships/table" Target="../tables/table25.xml"/><Relationship Id="rId3" Type="http://schemas.openxmlformats.org/officeDocument/2006/relationships/table" Target="../tables/table15.xml"/><Relationship Id="rId7" Type="http://schemas.openxmlformats.org/officeDocument/2006/relationships/table" Target="../tables/table19.xml"/><Relationship Id="rId12" Type="http://schemas.openxmlformats.org/officeDocument/2006/relationships/table" Target="../tables/table24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8.xml"/><Relationship Id="rId11" Type="http://schemas.openxmlformats.org/officeDocument/2006/relationships/table" Target="../tables/table23.xml"/><Relationship Id="rId5" Type="http://schemas.openxmlformats.org/officeDocument/2006/relationships/table" Target="../tables/table17.xml"/><Relationship Id="rId10" Type="http://schemas.openxmlformats.org/officeDocument/2006/relationships/table" Target="../tables/table22.xml"/><Relationship Id="rId4" Type="http://schemas.openxmlformats.org/officeDocument/2006/relationships/table" Target="../tables/table16.xml"/><Relationship Id="rId9" Type="http://schemas.openxmlformats.org/officeDocument/2006/relationships/table" Target="../tables/table21.xml"/><Relationship Id="rId14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V348"/>
  <sheetViews>
    <sheetView tabSelected="1" topLeftCell="A80" zoomScale="60" zoomScaleNormal="60" zoomScaleSheetLayoutView="85" workbookViewId="0">
      <selection activeCell="AW110" sqref="AW110"/>
    </sheetView>
  </sheetViews>
  <sheetFormatPr defaultColWidth="8.7265625" defaultRowHeight="14.5" x14ac:dyDescent="0.35"/>
  <cols>
    <col min="1" max="1" width="11.54296875" style="10" customWidth="1"/>
    <col min="2" max="2" width="39.453125" style="10" customWidth="1"/>
    <col min="3" max="3" width="21.453125" style="10" customWidth="1"/>
    <col min="4" max="27" width="18.81640625" style="10" customWidth="1"/>
    <col min="28" max="28" width="20.7265625" style="10" customWidth="1"/>
    <col min="29" max="29" width="28.81640625" style="10" customWidth="1"/>
    <col min="30" max="30" width="18.81640625" style="10" customWidth="1"/>
    <col min="31" max="31" width="27.1796875" style="10" customWidth="1"/>
    <col min="32" max="32" width="18.81640625" style="10" customWidth="1"/>
    <col min="33" max="33" width="23.54296875" style="10" customWidth="1"/>
    <col min="34" max="34" width="18.81640625" style="10" customWidth="1"/>
    <col min="35" max="35" width="23" style="10" customWidth="1"/>
    <col min="36" max="36" width="30" style="10" customWidth="1"/>
    <col min="37" max="37" width="23.453125" style="10" customWidth="1"/>
    <col min="38" max="38" width="24.54296875" style="10" customWidth="1"/>
    <col min="39" max="39" width="18.81640625" style="10" customWidth="1"/>
    <col min="40" max="40" width="34.54296875" style="10" customWidth="1"/>
    <col min="41" max="41" width="18.81640625" style="10" customWidth="1"/>
    <col min="42" max="42" width="22.26953125" style="10" customWidth="1"/>
    <col min="43" max="44" width="18.81640625" style="10" customWidth="1"/>
    <col min="45" max="45" width="29.453125" style="10" customWidth="1"/>
    <col min="46" max="46" width="25.7265625" style="10" customWidth="1"/>
    <col min="47" max="47" width="35.26953125" style="10" customWidth="1"/>
    <col min="48" max="48" width="18.81640625" style="12" customWidth="1"/>
    <col min="49" max="50" width="33.7265625" style="12" bestFit="1" customWidth="1"/>
    <col min="51" max="51" width="29.1796875" style="12" bestFit="1" customWidth="1"/>
    <col min="52" max="53" width="33.7265625" style="12" bestFit="1" customWidth="1"/>
    <col min="54" max="54" width="29.1796875" style="12" bestFit="1" customWidth="1"/>
    <col min="55" max="55" width="33.7265625" style="12" bestFit="1" customWidth="1"/>
    <col min="56" max="56" width="24.453125" style="12" bestFit="1" customWidth="1"/>
    <col min="57" max="57" width="29.1796875" style="12" bestFit="1" customWidth="1"/>
    <col min="58" max="58" width="42.81640625" style="12" bestFit="1" customWidth="1"/>
    <col min="59" max="59" width="15" style="12" bestFit="1" customWidth="1"/>
    <col min="60" max="16384" width="8.7265625" style="12"/>
  </cols>
  <sheetData>
    <row r="2" spans="1:48" x14ac:dyDescent="0.35">
      <c r="B2" s="17" t="s">
        <v>39</v>
      </c>
      <c r="C2" s="17" t="s">
        <v>40</v>
      </c>
      <c r="D2" s="17" t="s">
        <v>41</v>
      </c>
      <c r="E2" s="17" t="s">
        <v>42</v>
      </c>
      <c r="F2" s="17" t="s">
        <v>43</v>
      </c>
      <c r="G2" s="17" t="s">
        <v>44</v>
      </c>
      <c r="H2" s="17" t="s">
        <v>45</v>
      </c>
      <c r="I2" s="17" t="s">
        <v>46</v>
      </c>
      <c r="J2" s="17" t="s">
        <v>47</v>
      </c>
      <c r="K2" s="17" t="s">
        <v>48</v>
      </c>
      <c r="L2" s="17" t="s">
        <v>49</v>
      </c>
      <c r="M2" s="17" t="s">
        <v>50</v>
      </c>
      <c r="N2" s="17" t="s">
        <v>51</v>
      </c>
      <c r="O2" s="17" t="s">
        <v>52</v>
      </c>
      <c r="P2" s="17" t="s">
        <v>53</v>
      </c>
      <c r="Q2" s="17" t="s">
        <v>54</v>
      </c>
      <c r="R2" s="17" t="s">
        <v>55</v>
      </c>
      <c r="S2" s="17" t="s">
        <v>56</v>
      </c>
      <c r="T2" s="17" t="s">
        <v>57</v>
      </c>
      <c r="U2" s="17" t="s">
        <v>58</v>
      </c>
      <c r="V2" s="17" t="s">
        <v>59</v>
      </c>
      <c r="W2" s="17" t="s">
        <v>60</v>
      </c>
      <c r="X2" s="17" t="s">
        <v>61</v>
      </c>
      <c r="Y2" s="17" t="s">
        <v>62</v>
      </c>
      <c r="Z2" s="17" t="s">
        <v>63</v>
      </c>
      <c r="AA2" s="17" t="s">
        <v>64</v>
      </c>
      <c r="AB2" s="17" t="s">
        <v>65</v>
      </c>
      <c r="AC2" s="17" t="s">
        <v>66</v>
      </c>
      <c r="AD2" s="17" t="s">
        <v>67</v>
      </c>
      <c r="AE2" s="17" t="s">
        <v>68</v>
      </c>
      <c r="AF2" s="17" t="s">
        <v>69</v>
      </c>
      <c r="AG2" s="17" t="s">
        <v>70</v>
      </c>
      <c r="AH2" s="17" t="s">
        <v>71</v>
      </c>
      <c r="AI2" s="17" t="s">
        <v>72</v>
      </c>
      <c r="AJ2" s="17" t="s">
        <v>73</v>
      </c>
      <c r="AK2" s="17" t="s">
        <v>74</v>
      </c>
      <c r="AL2" s="17" t="s">
        <v>75</v>
      </c>
      <c r="AM2" s="17" t="s">
        <v>76</v>
      </c>
      <c r="AN2" s="17" t="s">
        <v>77</v>
      </c>
      <c r="AO2" s="17" t="s">
        <v>78</v>
      </c>
      <c r="AP2" s="17" t="s">
        <v>79</v>
      </c>
      <c r="AQ2" s="17" t="s">
        <v>80</v>
      </c>
      <c r="AR2" s="17" t="s">
        <v>81</v>
      </c>
      <c r="AS2" s="17" t="s">
        <v>82</v>
      </c>
      <c r="AT2" s="17" t="s">
        <v>83</v>
      </c>
      <c r="AU2" s="17" t="s">
        <v>84</v>
      </c>
      <c r="AV2" s="16" t="s">
        <v>8</v>
      </c>
    </row>
    <row r="3" spans="1:48" x14ac:dyDescent="0.35">
      <c r="A3" s="26" t="s">
        <v>9</v>
      </c>
      <c r="B3" s="18" t="s">
        <v>85</v>
      </c>
      <c r="C3" s="18"/>
      <c r="D3" s="18">
        <v>7975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>
        <v>1800</v>
      </c>
      <c r="AU3" s="18"/>
      <c r="AV3" s="19">
        <f>SUM(A3:AU3)</f>
        <v>9775</v>
      </c>
    </row>
    <row r="4" spans="1:48" x14ac:dyDescent="0.35">
      <c r="A4" s="27"/>
      <c r="B4" s="18" t="s">
        <v>86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>
        <v>2302.2849999999999</v>
      </c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>
        <v>14942.289999999997</v>
      </c>
      <c r="AU4" s="18"/>
      <c r="AV4" s="19">
        <f t="shared" ref="AV4:AV22" si="0">SUM(A4:AU4)</f>
        <v>17244.574999999997</v>
      </c>
    </row>
    <row r="5" spans="1:48" x14ac:dyDescent="0.35">
      <c r="A5" s="27"/>
      <c r="B5" s="18" t="s">
        <v>10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>
        <v>10290</v>
      </c>
      <c r="V5" s="18"/>
      <c r="W5" s="18"/>
      <c r="X5" s="18"/>
      <c r="Y5" s="18"/>
      <c r="Z5" s="18">
        <v>4803.1500000000005</v>
      </c>
      <c r="AA5" s="18"/>
      <c r="AB5" s="18">
        <v>3466.6499999999996</v>
      </c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>
        <v>1921.0500000000002</v>
      </c>
      <c r="AU5" s="18"/>
      <c r="AV5" s="19">
        <f t="shared" si="0"/>
        <v>20480.850000000002</v>
      </c>
    </row>
    <row r="6" spans="1:48" x14ac:dyDescent="0.35">
      <c r="A6" s="27"/>
      <c r="B6" s="18" t="s">
        <v>20</v>
      </c>
      <c r="C6" s="18"/>
      <c r="D6" s="18"/>
      <c r="E6" s="18">
        <v>4002.2250000000013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>
        <v>7490.3600000000024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>
        <v>2717.93</v>
      </c>
      <c r="AU6" s="18"/>
      <c r="AV6" s="19">
        <f t="shared" si="0"/>
        <v>14210.515000000003</v>
      </c>
    </row>
    <row r="7" spans="1:48" x14ac:dyDescent="0.35">
      <c r="A7" s="27"/>
      <c r="B7" s="18" t="s">
        <v>87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>
        <v>2520</v>
      </c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>
        <v>3375</v>
      </c>
      <c r="AP7" s="18"/>
      <c r="AQ7" s="18"/>
      <c r="AR7" s="18"/>
      <c r="AS7" s="18"/>
      <c r="AT7" s="18"/>
      <c r="AU7" s="18"/>
      <c r="AV7" s="19">
        <f t="shared" si="0"/>
        <v>5895</v>
      </c>
    </row>
    <row r="8" spans="1:48" x14ac:dyDescent="0.35">
      <c r="A8" s="27"/>
      <c r="B8" s="18" t="s">
        <v>11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>
        <v>9785</v>
      </c>
      <c r="X8" s="18"/>
      <c r="Y8" s="18"/>
      <c r="Z8" s="18">
        <v>58550.075000000004</v>
      </c>
      <c r="AA8" s="18"/>
      <c r="AB8" s="18"/>
      <c r="AC8" s="18">
        <v>554.64</v>
      </c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>
        <v>51855.5</v>
      </c>
      <c r="AQ8" s="18"/>
      <c r="AR8" s="18"/>
      <c r="AS8" s="18"/>
      <c r="AT8" s="18">
        <v>14691.399999999991</v>
      </c>
      <c r="AU8" s="18">
        <v>10116.59</v>
      </c>
      <c r="AV8" s="19">
        <f t="shared" si="0"/>
        <v>145553.20499999999</v>
      </c>
    </row>
    <row r="9" spans="1:48" x14ac:dyDescent="0.35">
      <c r="A9" s="27"/>
      <c r="B9" s="18" t="s">
        <v>12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>
        <v>2876.25</v>
      </c>
      <c r="Q9" s="18"/>
      <c r="R9" s="18"/>
      <c r="S9" s="18"/>
      <c r="T9" s="18"/>
      <c r="U9" s="18"/>
      <c r="V9" s="18">
        <v>4050</v>
      </c>
      <c r="W9" s="18"/>
      <c r="X9" s="18"/>
      <c r="Y9" s="18"/>
      <c r="Z9" s="18">
        <v>23490</v>
      </c>
      <c r="AA9" s="18"/>
      <c r="AB9" s="18"/>
      <c r="AC9" s="18"/>
      <c r="AD9" s="18">
        <v>1300</v>
      </c>
      <c r="AE9" s="18"/>
      <c r="AF9" s="18"/>
      <c r="AG9" s="18"/>
      <c r="AH9" s="18">
        <v>8163</v>
      </c>
      <c r="AI9" s="18">
        <v>10121.925000000001</v>
      </c>
      <c r="AJ9" s="18">
        <v>11002.5</v>
      </c>
      <c r="AK9" s="18"/>
      <c r="AL9" s="18"/>
      <c r="AM9" s="18"/>
      <c r="AN9" s="18"/>
      <c r="AO9" s="18">
        <v>15855.149999999991</v>
      </c>
      <c r="AP9" s="18"/>
      <c r="AQ9" s="18"/>
      <c r="AR9" s="18"/>
      <c r="AS9" s="18"/>
      <c r="AT9" s="18"/>
      <c r="AU9" s="18"/>
      <c r="AV9" s="19">
        <f t="shared" si="0"/>
        <v>76858.824999999997</v>
      </c>
    </row>
    <row r="10" spans="1:48" x14ac:dyDescent="0.35">
      <c r="A10" s="27"/>
      <c r="B10" s="18" t="s">
        <v>13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9">
        <f t="shared" si="0"/>
        <v>0</v>
      </c>
    </row>
    <row r="11" spans="1:48" x14ac:dyDescent="0.35">
      <c r="A11" s="27"/>
      <c r="B11" s="18" t="s">
        <v>14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>
        <v>8881.0250000000069</v>
      </c>
      <c r="R11" s="18"/>
      <c r="S11" s="18"/>
      <c r="T11" s="18"/>
      <c r="U11" s="18"/>
      <c r="V11" s="18"/>
      <c r="W11" s="18"/>
      <c r="X11" s="18"/>
      <c r="Y11" s="18"/>
      <c r="Z11" s="18">
        <v>19330.814999999999</v>
      </c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>
        <v>2981.9499999999994</v>
      </c>
      <c r="AU11" s="18"/>
      <c r="AV11" s="19">
        <f t="shared" si="0"/>
        <v>31193.790000000005</v>
      </c>
    </row>
    <row r="12" spans="1:48" x14ac:dyDescent="0.35">
      <c r="A12" s="27"/>
      <c r="B12" s="18" t="s">
        <v>88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>
        <v>636.88000000000011</v>
      </c>
      <c r="AU12" s="18"/>
      <c r="AV12" s="19">
        <f t="shared" si="0"/>
        <v>636.88000000000011</v>
      </c>
    </row>
    <row r="13" spans="1:48" x14ac:dyDescent="0.35">
      <c r="A13" s="27"/>
      <c r="B13" s="18" t="s">
        <v>89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>
        <v>5038.1999999999989</v>
      </c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9">
        <f t="shared" si="0"/>
        <v>5038.1999999999989</v>
      </c>
    </row>
    <row r="14" spans="1:48" x14ac:dyDescent="0.35">
      <c r="A14" s="27"/>
      <c r="B14" s="18" t="s">
        <v>90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>
        <v>3365.02</v>
      </c>
      <c r="AU14" s="18"/>
      <c r="AV14" s="19">
        <f t="shared" si="0"/>
        <v>3365.02</v>
      </c>
    </row>
    <row r="15" spans="1:48" x14ac:dyDescent="0.35">
      <c r="A15" s="27"/>
      <c r="B15" s="18" t="s">
        <v>26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>
        <v>1763.2399999999998</v>
      </c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>
        <v>6211.8599999999988</v>
      </c>
      <c r="AU15" s="18"/>
      <c r="AV15" s="19">
        <f t="shared" si="0"/>
        <v>7975.0999999999985</v>
      </c>
    </row>
    <row r="16" spans="1:48" x14ac:dyDescent="0.35">
      <c r="A16" s="27"/>
      <c r="B16" s="18" t="s">
        <v>91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>
        <v>3502.5</v>
      </c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9">
        <f t="shared" si="0"/>
        <v>3502.5</v>
      </c>
    </row>
    <row r="17" spans="1:48" x14ac:dyDescent="0.35">
      <c r="A17" s="27"/>
      <c r="B17" s="18" t="s">
        <v>92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9">
        <f t="shared" si="0"/>
        <v>0</v>
      </c>
    </row>
    <row r="18" spans="1:48" x14ac:dyDescent="0.35">
      <c r="A18" s="27"/>
      <c r="B18" s="18" t="s">
        <v>27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>
        <v>7326</v>
      </c>
      <c r="Y18" s="18"/>
      <c r="Z18" s="18"/>
      <c r="AA18" s="18"/>
      <c r="AB18" s="18"/>
      <c r="AC18" s="18"/>
      <c r="AD18" s="18"/>
      <c r="AE18" s="18"/>
      <c r="AF18" s="18">
        <v>1913.5700000000004</v>
      </c>
      <c r="AG18" s="18">
        <v>3482.07</v>
      </c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>
        <v>9066.75</v>
      </c>
      <c r="AU18" s="18"/>
      <c r="AV18" s="19">
        <f t="shared" si="0"/>
        <v>21788.39</v>
      </c>
    </row>
    <row r="19" spans="1:48" x14ac:dyDescent="0.35">
      <c r="A19" s="27"/>
      <c r="B19" s="18" t="s">
        <v>16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9">
        <f t="shared" si="0"/>
        <v>0</v>
      </c>
    </row>
    <row r="20" spans="1:48" x14ac:dyDescent="0.35">
      <c r="A20" s="27"/>
      <c r="B20" s="18" t="s">
        <v>22</v>
      </c>
      <c r="C20" s="18"/>
      <c r="D20" s="18"/>
      <c r="E20" s="18"/>
      <c r="F20" s="18"/>
      <c r="G20" s="18">
        <v>862.5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>
        <v>675</v>
      </c>
      <c r="AA20" s="18"/>
      <c r="AB20" s="18"/>
      <c r="AC20" s="18"/>
      <c r="AD20" s="18">
        <v>1560</v>
      </c>
      <c r="AE20" s="18"/>
      <c r="AF20" s="18"/>
      <c r="AG20" s="18"/>
      <c r="AH20" s="18"/>
      <c r="AI20" s="18">
        <v>429</v>
      </c>
      <c r="AJ20" s="18"/>
      <c r="AK20" s="18"/>
      <c r="AL20" s="18"/>
      <c r="AM20" s="18"/>
      <c r="AN20" s="18"/>
      <c r="AO20" s="18">
        <v>1475.15</v>
      </c>
      <c r="AP20" s="18"/>
      <c r="AQ20" s="18"/>
      <c r="AR20" s="18"/>
      <c r="AS20" s="18"/>
      <c r="AT20" s="18"/>
      <c r="AU20" s="18"/>
      <c r="AV20" s="19">
        <f t="shared" si="0"/>
        <v>5001.6499999999996</v>
      </c>
    </row>
    <row r="21" spans="1:48" x14ac:dyDescent="0.35">
      <c r="A21" s="27"/>
      <c r="B21" s="18" t="s">
        <v>17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>
        <v>3986.625</v>
      </c>
      <c r="AI21" s="18"/>
      <c r="AJ21" s="18"/>
      <c r="AK21" s="18"/>
      <c r="AL21" s="18">
        <v>1981.125</v>
      </c>
      <c r="AM21" s="18"/>
      <c r="AN21" s="18"/>
      <c r="AO21" s="18">
        <v>3962.25</v>
      </c>
      <c r="AP21" s="18"/>
      <c r="AQ21" s="18"/>
      <c r="AR21" s="18"/>
      <c r="AS21" s="18"/>
      <c r="AT21" s="18"/>
      <c r="AU21" s="18"/>
      <c r="AV21" s="19">
        <f t="shared" si="0"/>
        <v>9930</v>
      </c>
    </row>
    <row r="22" spans="1:48" x14ac:dyDescent="0.35">
      <c r="A22" s="27"/>
      <c r="B22" s="18" t="s">
        <v>93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>
        <v>5013</v>
      </c>
      <c r="AU22" s="18"/>
      <c r="AV22" s="19">
        <f t="shared" si="0"/>
        <v>5013</v>
      </c>
    </row>
    <row r="23" spans="1:48" x14ac:dyDescent="0.35">
      <c r="A23" s="27"/>
      <c r="B23" s="21" t="s">
        <v>18</v>
      </c>
      <c r="C23" s="21">
        <f>SUBTOTAL(109,Table2[3D Recruitment])</f>
        <v>0</v>
      </c>
      <c r="D23" s="21">
        <f>SUBTOTAL(109,Table2[App Locum])</f>
        <v>7975</v>
      </c>
      <c r="E23" s="21">
        <f>SUBTOTAL(109,Table2[Athona])</f>
        <v>4002.2250000000013</v>
      </c>
      <c r="F23" s="21">
        <f>SUBTOTAL(109,Table2[Beacon])</f>
        <v>0</v>
      </c>
      <c r="G23" s="21">
        <f>SUBTOTAL(109,Table2[Biggs Healthcare])</f>
        <v>862.5</v>
      </c>
      <c r="H23" s="21">
        <f>SUBTOTAL(109,Table2[Care Solutions])</f>
        <v>0</v>
      </c>
      <c r="I23" s="21">
        <f>SUBTOTAL(109,Table2[CES Locums])</f>
        <v>0</v>
      </c>
      <c r="J23" s="21">
        <f>SUBTOTAL(109,Table2[Chase Medical])</f>
        <v>0</v>
      </c>
      <c r="K23" s="21">
        <f>SUBTOTAL(109,Table2[Day Webster])</f>
        <v>0</v>
      </c>
      <c r="L23" s="21">
        <f>SUBTOTAL(109,Table2[DRC Locums])</f>
        <v>0</v>
      </c>
      <c r="M23" s="21">
        <f>SUBTOTAL(109,Table2[Enviva Care])</f>
        <v>0</v>
      </c>
      <c r="N23" s="21">
        <f>SUBTOTAL(109,Table2[HCL])</f>
        <v>0</v>
      </c>
      <c r="O23" s="21">
        <f>SUBTOTAL(109,Table2[Hourglass])</f>
        <v>0</v>
      </c>
      <c r="P23" s="21">
        <f>SUBTOTAL(109,Table2[Hunter Mental Health])</f>
        <v>2876.25</v>
      </c>
      <c r="Q23" s="21">
        <f>SUBTOTAL(109,Table2[ID Medical])</f>
        <v>8881.0250000000069</v>
      </c>
      <c r="R23" s="21">
        <f>SUBTOTAL(109,Table2[IMC LOCUMS])</f>
        <v>0</v>
      </c>
      <c r="S23" s="21">
        <f>SUBTOTAL(109,Table2[Locummeds])</f>
        <v>0</v>
      </c>
      <c r="T23" s="21">
        <f>SUBTOTAL(109,Table2[Maxxima Ltd t/a Labmed Recruitment])</f>
        <v>0</v>
      </c>
      <c r="U23" s="21">
        <f>SUBTOTAL(109,Table2[Medicare Health Professional])</f>
        <v>10290</v>
      </c>
      <c r="V23" s="21">
        <f>SUBTOTAL(109,Table2[Medicure Professional LTD])</f>
        <v>4050</v>
      </c>
      <c r="W23" s="21">
        <f>SUBTOTAL(109,Table2[Medilink])</f>
        <v>9785</v>
      </c>
      <c r="X23" s="21">
        <f>SUBTOTAL(109,Table2[Medsol Healthcare Services Ltd])</f>
        <v>7326</v>
      </c>
      <c r="Y23" s="21">
        <f>SUBTOTAL(109,Table2[MHP])</f>
        <v>0</v>
      </c>
      <c r="Z23" s="21">
        <f>SUBTOTAL(109,Table2[MSI Recruitment])</f>
        <v>120924.92500000002</v>
      </c>
      <c r="AA23" s="21">
        <f>SUBTOTAL(109,Table2[MSU])</f>
        <v>0</v>
      </c>
      <c r="AB23" s="21">
        <f>SUBTOTAL(109,Table2[NURSING 2000])</f>
        <v>8504.8499999999985</v>
      </c>
      <c r="AC23" s="21">
        <f>SUBTOTAL(109,Table2[P E Global Healthcare])</f>
        <v>554.64</v>
      </c>
      <c r="AD23" s="21">
        <f>SUBTOTAL(109,Table2[PerTemps])</f>
        <v>2860</v>
      </c>
      <c r="AE23" s="21">
        <f>SUBTOTAL(109,Table2[PSL RECRUITMENT])</f>
        <v>0</v>
      </c>
      <c r="AF23" s="21">
        <f>SUBTOTAL(109,Table2[Pulse])</f>
        <v>5416.0700000000006</v>
      </c>
      <c r="AG23" s="21">
        <f>SUBTOTAL(109,Table2[Redspot Care Ltd])</f>
        <v>3482.07</v>
      </c>
      <c r="AH23" s="21">
        <f>SUBTOTAL(109,Table2[Sanctuary])</f>
        <v>12149.625</v>
      </c>
      <c r="AI23" s="21">
        <f>SUBTOTAL(109,Table2[Sensible Staffing])</f>
        <v>10550.925000000001</v>
      </c>
      <c r="AJ23" s="21">
        <f>SUBTOTAL(109,Table2[Service Care Solutions])</f>
        <v>11002.5</v>
      </c>
      <c r="AK23" s="21">
        <f>SUBTOTAL(109,Table2[Seven Resoucing])</f>
        <v>0</v>
      </c>
      <c r="AL23" s="21">
        <f>SUBTOTAL(109,Table2[Seven Social Care])</f>
        <v>1981.125</v>
      </c>
      <c r="AM23" s="21">
        <f>SUBTOTAL(109,Table2[TBC])</f>
        <v>0</v>
      </c>
      <c r="AN23" s="21">
        <f>SUBTOTAL(109,Table2[The London Teaching Pool])</f>
        <v>0</v>
      </c>
      <c r="AO23" s="21">
        <f>SUBTOTAL(109,Table2[Tripod])</f>
        <v>24667.549999999992</v>
      </c>
      <c r="AP23" s="21">
        <f>SUBTOTAL(109,Table2[Unity Healthcare])</f>
        <v>51855.5</v>
      </c>
      <c r="AQ23" s="21">
        <f>SUBTOTAL(109,Table2[West Meria])</f>
        <v>0</v>
      </c>
      <c r="AR23" s="21">
        <f>SUBTOTAL(109,Table2[Your World])</f>
        <v>0</v>
      </c>
      <c r="AS23" s="21">
        <f>SUBTOTAL(109,Table2[Your World Healthcare])</f>
        <v>0</v>
      </c>
      <c r="AT23" s="21">
        <f>SUBTOTAL(109,Table2[Your World Nursing])</f>
        <v>63348.129999999976</v>
      </c>
      <c r="AU23" s="21">
        <f>SUBTOTAL(109,Table2[Your World Recruitment Ltd])</f>
        <v>10116.59</v>
      </c>
      <c r="AV23" s="21">
        <f>SUBTOTAL(109,Table2[Grand Total])</f>
        <v>383462.5</v>
      </c>
    </row>
    <row r="25" spans="1:48" x14ac:dyDescent="0.35">
      <c r="B25" s="17" t="s">
        <v>39</v>
      </c>
      <c r="C25" s="17" t="s">
        <v>40</v>
      </c>
      <c r="D25" s="17" t="s">
        <v>41</v>
      </c>
      <c r="E25" s="17" t="s">
        <v>42</v>
      </c>
      <c r="F25" s="17" t="s">
        <v>43</v>
      </c>
      <c r="G25" s="17" t="s">
        <v>44</v>
      </c>
      <c r="H25" s="17" t="s">
        <v>45</v>
      </c>
      <c r="I25" s="17" t="s">
        <v>46</v>
      </c>
      <c r="J25" s="17" t="s">
        <v>47</v>
      </c>
      <c r="K25" s="17" t="s">
        <v>48</v>
      </c>
      <c r="L25" s="17" t="s">
        <v>49</v>
      </c>
      <c r="M25" s="17" t="s">
        <v>50</v>
      </c>
      <c r="N25" s="17" t="s">
        <v>51</v>
      </c>
      <c r="O25" s="17" t="s">
        <v>52</v>
      </c>
      <c r="P25" s="17" t="s">
        <v>53</v>
      </c>
      <c r="Q25" s="17" t="s">
        <v>54</v>
      </c>
      <c r="R25" s="17" t="s">
        <v>55</v>
      </c>
      <c r="S25" s="17" t="s">
        <v>56</v>
      </c>
      <c r="T25" s="17" t="s">
        <v>57</v>
      </c>
      <c r="U25" s="17" t="s">
        <v>58</v>
      </c>
      <c r="V25" s="17" t="s">
        <v>59</v>
      </c>
      <c r="W25" s="17" t="s">
        <v>60</v>
      </c>
      <c r="X25" s="17" t="s">
        <v>61</v>
      </c>
      <c r="Y25" s="17" t="s">
        <v>62</v>
      </c>
      <c r="Z25" s="17" t="s">
        <v>63</v>
      </c>
      <c r="AA25" s="17" t="s">
        <v>64</v>
      </c>
      <c r="AB25" s="17" t="s">
        <v>65</v>
      </c>
      <c r="AC25" s="17" t="s">
        <v>66</v>
      </c>
      <c r="AD25" s="17" t="s">
        <v>67</v>
      </c>
      <c r="AE25" s="17" t="s">
        <v>68</v>
      </c>
      <c r="AF25" s="17" t="s">
        <v>69</v>
      </c>
      <c r="AG25" s="17" t="s">
        <v>70</v>
      </c>
      <c r="AH25" s="17" t="s">
        <v>71</v>
      </c>
      <c r="AI25" s="17" t="s">
        <v>72</v>
      </c>
      <c r="AJ25" s="17" t="s">
        <v>73</v>
      </c>
      <c r="AK25" s="17" t="s">
        <v>74</v>
      </c>
      <c r="AL25" s="17" t="s">
        <v>75</v>
      </c>
      <c r="AM25" s="17" t="s">
        <v>76</v>
      </c>
      <c r="AN25" s="17" t="s">
        <v>77</v>
      </c>
      <c r="AO25" s="17" t="s">
        <v>78</v>
      </c>
      <c r="AP25" s="17" t="s">
        <v>79</v>
      </c>
      <c r="AQ25" s="17" t="s">
        <v>80</v>
      </c>
      <c r="AR25" s="17" t="s">
        <v>81</v>
      </c>
      <c r="AS25" s="17" t="s">
        <v>82</v>
      </c>
      <c r="AT25" s="17" t="s">
        <v>83</v>
      </c>
      <c r="AU25" s="17" t="s">
        <v>84</v>
      </c>
      <c r="AV25" s="16" t="s">
        <v>8</v>
      </c>
    </row>
    <row r="26" spans="1:48" x14ac:dyDescent="0.35">
      <c r="A26" s="26" t="s">
        <v>19</v>
      </c>
      <c r="B26" s="18" t="s">
        <v>85</v>
      </c>
      <c r="C26" s="18"/>
      <c r="D26" s="18">
        <v>4408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9">
        <f t="shared" ref="AV26:AV48" si="1">SUM(A26:AU26)</f>
        <v>4408</v>
      </c>
    </row>
    <row r="27" spans="1:48" x14ac:dyDescent="0.35">
      <c r="A27" s="27"/>
      <c r="B27" s="18" t="s">
        <v>86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>
        <v>2234.79</v>
      </c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>
        <v>4655.7049999999999</v>
      </c>
      <c r="AU27" s="18"/>
      <c r="AV27" s="19">
        <f t="shared" si="1"/>
        <v>6890.4949999999999</v>
      </c>
    </row>
    <row r="28" spans="1:48" x14ac:dyDescent="0.35">
      <c r="A28" s="27"/>
      <c r="B28" s="18" t="s">
        <v>10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>
        <v>14555</v>
      </c>
      <c r="V28" s="18"/>
      <c r="W28" s="18"/>
      <c r="X28" s="18"/>
      <c r="Y28" s="18"/>
      <c r="Z28" s="18">
        <v>6024.8050000000021</v>
      </c>
      <c r="AA28" s="18"/>
      <c r="AB28" s="18">
        <v>3354.35</v>
      </c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>
        <v>4055.5499999999984</v>
      </c>
      <c r="AU28" s="18"/>
      <c r="AV28" s="19">
        <f t="shared" si="1"/>
        <v>27989.704999999998</v>
      </c>
    </row>
    <row r="29" spans="1:48" x14ac:dyDescent="0.35">
      <c r="A29" s="27"/>
      <c r="B29" s="18" t="s">
        <v>20</v>
      </c>
      <c r="C29" s="18"/>
      <c r="D29" s="18"/>
      <c r="E29" s="18">
        <v>3531.3750000000009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>
        <v>1380</v>
      </c>
      <c r="V29" s="18"/>
      <c r="W29" s="18"/>
      <c r="X29" s="18"/>
      <c r="Y29" s="18"/>
      <c r="Z29" s="18">
        <v>8158.6350000000002</v>
      </c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>
        <v>1786.5349999999999</v>
      </c>
      <c r="AU29" s="18"/>
      <c r="AV29" s="19">
        <f t="shared" si="1"/>
        <v>14856.545000000002</v>
      </c>
    </row>
    <row r="30" spans="1:48" x14ac:dyDescent="0.35">
      <c r="A30" s="27"/>
      <c r="B30" s="18" t="s">
        <v>87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>
        <v>1125</v>
      </c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>
        <v>2250</v>
      </c>
      <c r="AP30" s="18"/>
      <c r="AQ30" s="18"/>
      <c r="AR30" s="18"/>
      <c r="AS30" s="18"/>
      <c r="AT30" s="18"/>
      <c r="AU30" s="18"/>
      <c r="AV30" s="19">
        <f t="shared" si="1"/>
        <v>3375</v>
      </c>
    </row>
    <row r="31" spans="1:48" x14ac:dyDescent="0.35">
      <c r="A31" s="27"/>
      <c r="B31" s="18" t="s">
        <v>21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9">
        <f t="shared" si="1"/>
        <v>0</v>
      </c>
    </row>
    <row r="32" spans="1:48" x14ac:dyDescent="0.35">
      <c r="A32" s="27"/>
      <c r="B32" s="18" t="s">
        <v>11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>
        <v>4900</v>
      </c>
      <c r="X32" s="18"/>
      <c r="Y32" s="18"/>
      <c r="Z32" s="18">
        <v>38305.230000000018</v>
      </c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>
        <v>48793.25</v>
      </c>
      <c r="AQ32" s="18"/>
      <c r="AR32" s="18"/>
      <c r="AS32" s="18"/>
      <c r="AT32" s="18">
        <v>15286.899999999996</v>
      </c>
      <c r="AU32" s="18">
        <v>2003.55</v>
      </c>
      <c r="AV32" s="19">
        <f t="shared" si="1"/>
        <v>109288.93000000001</v>
      </c>
    </row>
    <row r="33" spans="1:48" x14ac:dyDescent="0.35">
      <c r="A33" s="27"/>
      <c r="B33" s="18" t="s">
        <v>12</v>
      </c>
      <c r="C33" s="18"/>
      <c r="D33" s="18"/>
      <c r="E33" s="18"/>
      <c r="F33" s="18"/>
      <c r="G33" s="18"/>
      <c r="H33" s="18"/>
      <c r="I33" s="18">
        <v>3519.6000000000008</v>
      </c>
      <c r="J33" s="18"/>
      <c r="K33" s="18"/>
      <c r="L33" s="18"/>
      <c r="M33" s="18"/>
      <c r="N33" s="18"/>
      <c r="O33" s="18"/>
      <c r="P33" s="18">
        <v>3318.75</v>
      </c>
      <c r="Q33" s="18"/>
      <c r="R33" s="18"/>
      <c r="S33" s="18"/>
      <c r="T33" s="18"/>
      <c r="U33" s="18"/>
      <c r="V33" s="18">
        <v>2580.6000000000004</v>
      </c>
      <c r="W33" s="18"/>
      <c r="X33" s="18"/>
      <c r="Y33" s="18"/>
      <c r="Z33" s="18">
        <v>27337.5</v>
      </c>
      <c r="AA33" s="18"/>
      <c r="AB33" s="18"/>
      <c r="AC33" s="18"/>
      <c r="AD33" s="18"/>
      <c r="AE33" s="18"/>
      <c r="AF33" s="18"/>
      <c r="AG33" s="18"/>
      <c r="AH33" s="18">
        <v>4793.25</v>
      </c>
      <c r="AI33" s="18">
        <v>3931.4999999999986</v>
      </c>
      <c r="AJ33" s="18">
        <v>8272.5</v>
      </c>
      <c r="AK33" s="18">
        <v>284.90499999999997</v>
      </c>
      <c r="AL33" s="18">
        <v>1034.655</v>
      </c>
      <c r="AM33" s="18"/>
      <c r="AN33" s="18"/>
      <c r="AO33" s="18">
        <v>16195.274999999992</v>
      </c>
      <c r="AP33" s="18"/>
      <c r="AQ33" s="18"/>
      <c r="AR33" s="18"/>
      <c r="AS33" s="18"/>
      <c r="AT33" s="18"/>
      <c r="AU33" s="18"/>
      <c r="AV33" s="19">
        <f t="shared" si="1"/>
        <v>71268.534999999989</v>
      </c>
    </row>
    <row r="34" spans="1:48" x14ac:dyDescent="0.35">
      <c r="A34" s="27"/>
      <c r="B34" s="18" t="s">
        <v>13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9">
        <f t="shared" si="1"/>
        <v>0</v>
      </c>
    </row>
    <row r="35" spans="1:48" x14ac:dyDescent="0.35">
      <c r="A35" s="27"/>
      <c r="B35" s="18" t="s">
        <v>14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>
        <v>3993.2199999999989</v>
      </c>
      <c r="R35" s="18"/>
      <c r="S35" s="18"/>
      <c r="T35" s="18"/>
      <c r="U35" s="18"/>
      <c r="V35" s="18"/>
      <c r="W35" s="18"/>
      <c r="X35" s="18"/>
      <c r="Y35" s="18"/>
      <c r="Z35" s="18">
        <v>15480.210000000017</v>
      </c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>
        <v>7364.1200000000035</v>
      </c>
      <c r="AU35" s="18"/>
      <c r="AV35" s="19">
        <f t="shared" si="1"/>
        <v>26837.550000000017</v>
      </c>
    </row>
    <row r="36" spans="1:48" x14ac:dyDescent="0.35">
      <c r="A36" s="27"/>
      <c r="B36" s="18" t="s">
        <v>25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>
        <v>1166.8499999999999</v>
      </c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9">
        <f t="shared" si="1"/>
        <v>1166.8499999999999</v>
      </c>
    </row>
    <row r="37" spans="1:48" x14ac:dyDescent="0.35">
      <c r="A37" s="27"/>
      <c r="B37" s="18" t="s">
        <v>88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>
        <v>1257.0000000000002</v>
      </c>
      <c r="AU37" s="18"/>
      <c r="AV37" s="19">
        <f t="shared" si="1"/>
        <v>1257.0000000000002</v>
      </c>
    </row>
    <row r="38" spans="1:48" x14ac:dyDescent="0.35">
      <c r="A38" s="27"/>
      <c r="B38" s="18" t="s">
        <v>89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>
        <v>4395.6000000000004</v>
      </c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9">
        <f t="shared" si="1"/>
        <v>4395.6000000000004</v>
      </c>
    </row>
    <row r="39" spans="1:48" x14ac:dyDescent="0.35">
      <c r="A39" s="27"/>
      <c r="B39" s="18" t="s">
        <v>90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>
        <v>919.7</v>
      </c>
      <c r="AU39" s="18"/>
      <c r="AV39" s="19">
        <f t="shared" si="1"/>
        <v>919.7</v>
      </c>
    </row>
    <row r="40" spans="1:48" x14ac:dyDescent="0.35">
      <c r="A40" s="27"/>
      <c r="B40" s="18" t="s">
        <v>26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>
        <v>4480</v>
      </c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>
        <v>9153.7049999999981</v>
      </c>
      <c r="AU40" s="18"/>
      <c r="AV40" s="19">
        <f t="shared" si="1"/>
        <v>13633.704999999998</v>
      </c>
    </row>
    <row r="41" spans="1:48" x14ac:dyDescent="0.35">
      <c r="A41" s="27"/>
      <c r="B41" s="18" t="s">
        <v>91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>
        <v>5253.75</v>
      </c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9">
        <f t="shared" si="1"/>
        <v>5253.75</v>
      </c>
    </row>
    <row r="42" spans="1:48" x14ac:dyDescent="0.35">
      <c r="A42" s="27"/>
      <c r="B42" s="18" t="s">
        <v>92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9">
        <f t="shared" si="1"/>
        <v>0</v>
      </c>
    </row>
    <row r="43" spans="1:48" x14ac:dyDescent="0.35">
      <c r="A43" s="27"/>
      <c r="B43" s="18" t="s">
        <v>27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>
        <v>8029</v>
      </c>
      <c r="Y43" s="18"/>
      <c r="Z43" s="18"/>
      <c r="AA43" s="18"/>
      <c r="AB43" s="18"/>
      <c r="AC43" s="18"/>
      <c r="AD43" s="18"/>
      <c r="AE43" s="18"/>
      <c r="AF43" s="18">
        <v>3278.165</v>
      </c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>
        <v>8654.625</v>
      </c>
      <c r="AU43" s="18"/>
      <c r="AV43" s="19">
        <f t="shared" si="1"/>
        <v>19961.79</v>
      </c>
    </row>
    <row r="44" spans="1:48" x14ac:dyDescent="0.35">
      <c r="A44" s="27"/>
      <c r="B44" s="18" t="s">
        <v>16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9">
        <f t="shared" si="1"/>
        <v>0</v>
      </c>
    </row>
    <row r="45" spans="1:48" x14ac:dyDescent="0.35">
      <c r="A45" s="27"/>
      <c r="B45" s="18" t="s">
        <v>94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>
        <v>605.4</v>
      </c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9">
        <f t="shared" si="1"/>
        <v>605.4</v>
      </c>
    </row>
    <row r="46" spans="1:48" x14ac:dyDescent="0.35">
      <c r="A46" s="27"/>
      <c r="B46" s="18" t="s">
        <v>22</v>
      </c>
      <c r="C46" s="18"/>
      <c r="D46" s="18"/>
      <c r="E46" s="18"/>
      <c r="F46" s="18"/>
      <c r="G46" s="18">
        <v>4200.835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>
        <v>3120</v>
      </c>
      <c r="AE46" s="18"/>
      <c r="AF46" s="18"/>
      <c r="AG46" s="18"/>
      <c r="AH46" s="18"/>
      <c r="AI46" s="18">
        <v>4257</v>
      </c>
      <c r="AJ46" s="18"/>
      <c r="AK46" s="18"/>
      <c r="AL46" s="18"/>
      <c r="AM46" s="18"/>
      <c r="AN46" s="18"/>
      <c r="AO46" s="18">
        <v>943.15000000000009</v>
      </c>
      <c r="AP46" s="18"/>
      <c r="AQ46" s="18"/>
      <c r="AR46" s="18"/>
      <c r="AS46" s="18"/>
      <c r="AT46" s="18"/>
      <c r="AU46" s="18"/>
      <c r="AV46" s="19">
        <f t="shared" si="1"/>
        <v>12520.984999999999</v>
      </c>
    </row>
    <row r="47" spans="1:48" x14ac:dyDescent="0.35">
      <c r="A47" s="27"/>
      <c r="B47" s="18" t="s">
        <v>17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>
        <v>4622.625</v>
      </c>
      <c r="AI47" s="18"/>
      <c r="AJ47" s="18"/>
      <c r="AK47" s="18">
        <v>1565.5499999999997</v>
      </c>
      <c r="AL47" s="18">
        <v>5739.375</v>
      </c>
      <c r="AM47" s="18"/>
      <c r="AN47" s="18"/>
      <c r="AO47" s="18">
        <v>5962.875</v>
      </c>
      <c r="AP47" s="18"/>
      <c r="AQ47" s="18"/>
      <c r="AR47" s="18"/>
      <c r="AS47" s="18"/>
      <c r="AT47" s="18"/>
      <c r="AU47" s="18"/>
      <c r="AV47" s="19">
        <f t="shared" si="1"/>
        <v>17890.424999999999</v>
      </c>
    </row>
    <row r="48" spans="1:48" x14ac:dyDescent="0.35">
      <c r="A48" s="27"/>
      <c r="B48" s="18" t="s">
        <v>93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>
        <v>5013</v>
      </c>
      <c r="AU48" s="18"/>
      <c r="AV48" s="19">
        <f t="shared" si="1"/>
        <v>5013</v>
      </c>
    </row>
    <row r="49" spans="1:48" x14ac:dyDescent="0.35">
      <c r="A49" s="27"/>
      <c r="B49" s="21" t="s">
        <v>18</v>
      </c>
      <c r="C49" s="21">
        <f>SUBTOTAL(109,Table3[3D Recruitment])</f>
        <v>0</v>
      </c>
      <c r="D49" s="21">
        <f>SUBTOTAL(109,Table3[App Locum])</f>
        <v>4408</v>
      </c>
      <c r="E49" s="21">
        <f>SUBTOTAL(109,Table3[Athona])</f>
        <v>3531.3750000000009</v>
      </c>
      <c r="F49" s="21">
        <f>SUBTOTAL(109,Table3[Beacon])</f>
        <v>0</v>
      </c>
      <c r="G49" s="21">
        <f>SUBTOTAL(109,Table3[Biggs Healthcare])</f>
        <v>4200.835</v>
      </c>
      <c r="H49" s="21">
        <f>SUBTOTAL(109,Table3[Care Solutions])</f>
        <v>0</v>
      </c>
      <c r="I49" s="21">
        <f>SUBTOTAL(109,Table3[CES Locums])</f>
        <v>3519.6000000000008</v>
      </c>
      <c r="J49" s="21">
        <f>SUBTOTAL(109,Table3[Chase Medical])</f>
        <v>0</v>
      </c>
      <c r="K49" s="21">
        <f>SUBTOTAL(109,Table3[Day Webster])</f>
        <v>0</v>
      </c>
      <c r="L49" s="21">
        <f>SUBTOTAL(109,Table3[DRC Locums])</f>
        <v>0</v>
      </c>
      <c r="M49" s="21">
        <f>SUBTOTAL(109,Table3[Enviva Care])</f>
        <v>0</v>
      </c>
      <c r="N49" s="21">
        <f>SUBTOTAL(109,Table3[HCL])</f>
        <v>0</v>
      </c>
      <c r="O49" s="21">
        <f>SUBTOTAL(109,Table3[Hourglass])</f>
        <v>0</v>
      </c>
      <c r="P49" s="21">
        <f>SUBTOTAL(109,Table3[Hunter Mental Health])</f>
        <v>3318.75</v>
      </c>
      <c r="Q49" s="21">
        <f>SUBTOTAL(109,Table3[ID Medical])</f>
        <v>3993.2199999999989</v>
      </c>
      <c r="R49" s="21">
        <f>SUBTOTAL(109,Table3[IMC LOCUMS])</f>
        <v>0</v>
      </c>
      <c r="S49" s="21">
        <f>SUBTOTAL(109,Table3[Locummeds])</f>
        <v>0</v>
      </c>
      <c r="T49" s="21">
        <f>SUBTOTAL(109,Table3[Maxxima Ltd t/a Labmed Recruitment])</f>
        <v>0</v>
      </c>
      <c r="U49" s="21">
        <f>SUBTOTAL(109,Table3[Medicare Health Professional])</f>
        <v>15935</v>
      </c>
      <c r="V49" s="21">
        <f>SUBTOTAL(109,Table3[Medicure Professional LTD])</f>
        <v>2580.6000000000004</v>
      </c>
      <c r="W49" s="21">
        <f>SUBTOTAL(109,Table3[Medilink])</f>
        <v>4900</v>
      </c>
      <c r="X49" s="21">
        <f>SUBTOTAL(109,Table3[Medsol Healthcare Services Ltd])</f>
        <v>8029</v>
      </c>
      <c r="Y49" s="21">
        <f>SUBTOTAL(109,Table3[MHP])</f>
        <v>0</v>
      </c>
      <c r="Z49" s="21">
        <f>SUBTOTAL(109,Table3[MSI Recruitment])</f>
        <v>104313.02000000005</v>
      </c>
      <c r="AA49" s="21">
        <f>SUBTOTAL(109,Table3[MSU])</f>
        <v>0</v>
      </c>
      <c r="AB49" s="21">
        <f>SUBTOTAL(109,Table3[NURSING 2000])</f>
        <v>7749.9500000000007</v>
      </c>
      <c r="AC49" s="21">
        <f>SUBTOTAL(109,Table3[P E Global Healthcare])</f>
        <v>0</v>
      </c>
      <c r="AD49" s="21">
        <f>SUBTOTAL(109,Table3[PerTemps])</f>
        <v>3120</v>
      </c>
      <c r="AE49" s="21">
        <f>SUBTOTAL(109,Table3[PSL RECRUITMENT])</f>
        <v>0</v>
      </c>
      <c r="AF49" s="21">
        <f>SUBTOTAL(109,Table3[Pulse])</f>
        <v>9137.3150000000005</v>
      </c>
      <c r="AG49" s="21">
        <f>SUBTOTAL(109,Table3[Redspot Care Ltd])</f>
        <v>0</v>
      </c>
      <c r="AH49" s="21">
        <f>SUBTOTAL(109,Table3[Sanctuary])</f>
        <v>9415.875</v>
      </c>
      <c r="AI49" s="21">
        <f>SUBTOTAL(109,Table3[Sensible Staffing])</f>
        <v>8188.4999999999982</v>
      </c>
      <c r="AJ49" s="21">
        <f>SUBTOTAL(109,Table3[Service Care Solutions])</f>
        <v>8272.5</v>
      </c>
      <c r="AK49" s="21">
        <f>SUBTOTAL(109,Table3[Seven Resoucing])</f>
        <v>1850.4549999999997</v>
      </c>
      <c r="AL49" s="21">
        <f>SUBTOTAL(109,Table3[Seven Social Care])</f>
        <v>6774.03</v>
      </c>
      <c r="AM49" s="21">
        <f>SUBTOTAL(109,Table3[TBC])</f>
        <v>0</v>
      </c>
      <c r="AN49" s="21">
        <f>SUBTOTAL(109,Table3[The London Teaching Pool])</f>
        <v>0</v>
      </c>
      <c r="AO49" s="21">
        <f>SUBTOTAL(109,Table3[Tripod])</f>
        <v>25351.299999999996</v>
      </c>
      <c r="AP49" s="21">
        <f>SUBTOTAL(109,Table3[Unity Healthcare])</f>
        <v>48793.25</v>
      </c>
      <c r="AQ49" s="21">
        <f>SUBTOTAL(109,Table3[West Meria])</f>
        <v>0</v>
      </c>
      <c r="AR49" s="21">
        <f>SUBTOTAL(109,Table3[Your World])</f>
        <v>0</v>
      </c>
      <c r="AS49" s="21">
        <f>SUBTOTAL(109,Table3[Your World Healthcare])</f>
        <v>0</v>
      </c>
      <c r="AT49" s="21">
        <f>SUBTOTAL(109,Table3[Your World Nursing])</f>
        <v>58146.84</v>
      </c>
      <c r="AU49" s="21">
        <f>SUBTOTAL(109,Table3[Your World Recruitment Ltd])</f>
        <v>2003.55</v>
      </c>
      <c r="AV49" s="21">
        <f>SUBTOTAL(109,Table3[Grand Total])</f>
        <v>347532.96499999997</v>
      </c>
    </row>
    <row r="51" spans="1:48" x14ac:dyDescent="0.35">
      <c r="B51" s="17" t="s">
        <v>39</v>
      </c>
      <c r="C51" s="17" t="s">
        <v>40</v>
      </c>
      <c r="D51" s="17" t="s">
        <v>41</v>
      </c>
      <c r="E51" s="17" t="s">
        <v>42</v>
      </c>
      <c r="F51" s="17" t="s">
        <v>43</v>
      </c>
      <c r="G51" s="17" t="s">
        <v>44</v>
      </c>
      <c r="H51" s="17" t="s">
        <v>45</v>
      </c>
      <c r="I51" s="17" t="s">
        <v>46</v>
      </c>
      <c r="J51" s="17" t="s">
        <v>47</v>
      </c>
      <c r="K51" s="17" t="s">
        <v>48</v>
      </c>
      <c r="L51" s="17" t="s">
        <v>49</v>
      </c>
      <c r="M51" s="17" t="s">
        <v>50</v>
      </c>
      <c r="N51" s="17" t="s">
        <v>51</v>
      </c>
      <c r="O51" s="17" t="s">
        <v>52</v>
      </c>
      <c r="P51" s="17" t="s">
        <v>53</v>
      </c>
      <c r="Q51" s="17" t="s">
        <v>54</v>
      </c>
      <c r="R51" s="17" t="s">
        <v>55</v>
      </c>
      <c r="S51" s="17" t="s">
        <v>56</v>
      </c>
      <c r="T51" s="17" t="s">
        <v>57</v>
      </c>
      <c r="U51" s="17" t="s">
        <v>58</v>
      </c>
      <c r="V51" s="17" t="s">
        <v>59</v>
      </c>
      <c r="W51" s="17" t="s">
        <v>60</v>
      </c>
      <c r="X51" s="17" t="s">
        <v>61</v>
      </c>
      <c r="Y51" s="17" t="s">
        <v>62</v>
      </c>
      <c r="Z51" s="17" t="s">
        <v>63</v>
      </c>
      <c r="AA51" s="17" t="s">
        <v>64</v>
      </c>
      <c r="AB51" s="17" t="s">
        <v>65</v>
      </c>
      <c r="AC51" s="17" t="s">
        <v>66</v>
      </c>
      <c r="AD51" s="17" t="s">
        <v>67</v>
      </c>
      <c r="AE51" s="17" t="s">
        <v>68</v>
      </c>
      <c r="AF51" s="17" t="s">
        <v>69</v>
      </c>
      <c r="AG51" s="17" t="s">
        <v>70</v>
      </c>
      <c r="AH51" s="17" t="s">
        <v>71</v>
      </c>
      <c r="AI51" s="17" t="s">
        <v>72</v>
      </c>
      <c r="AJ51" s="17" t="s">
        <v>73</v>
      </c>
      <c r="AK51" s="17" t="s">
        <v>74</v>
      </c>
      <c r="AL51" s="17" t="s">
        <v>75</v>
      </c>
      <c r="AM51" s="17" t="s">
        <v>76</v>
      </c>
      <c r="AN51" s="17" t="s">
        <v>77</v>
      </c>
      <c r="AO51" s="17" t="s">
        <v>78</v>
      </c>
      <c r="AP51" s="17" t="s">
        <v>79</v>
      </c>
      <c r="AQ51" s="17" t="s">
        <v>80</v>
      </c>
      <c r="AR51" s="17" t="s">
        <v>81</v>
      </c>
      <c r="AS51" s="17" t="s">
        <v>82</v>
      </c>
      <c r="AT51" s="17" t="s">
        <v>83</v>
      </c>
      <c r="AU51" s="17" t="s">
        <v>84</v>
      </c>
      <c r="AV51" s="16" t="s">
        <v>8</v>
      </c>
    </row>
    <row r="52" spans="1:48" x14ac:dyDescent="0.35">
      <c r="A52" s="26" t="s">
        <v>23</v>
      </c>
      <c r="B52" s="18" t="s">
        <v>117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>
        <v>213.45000000000002</v>
      </c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9">
        <f>SUM(A52:AU52)</f>
        <v>213.45000000000002</v>
      </c>
    </row>
    <row r="53" spans="1:48" x14ac:dyDescent="0.35">
      <c r="A53" s="27"/>
      <c r="B53" s="18" t="s">
        <v>85</v>
      </c>
      <c r="C53" s="18"/>
      <c r="D53" s="18">
        <v>6380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9">
        <f t="shared" ref="AV53:AV74" si="2">SUM(A53:AU53)</f>
        <v>6380</v>
      </c>
    </row>
    <row r="54" spans="1:48" x14ac:dyDescent="0.35">
      <c r="A54" s="27"/>
      <c r="B54" s="18" t="s">
        <v>86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>
        <v>3929.5499999999988</v>
      </c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>
        <v>4431.420000000001</v>
      </c>
      <c r="AU54" s="18"/>
      <c r="AV54" s="19">
        <f t="shared" si="2"/>
        <v>8360.9699999999993</v>
      </c>
    </row>
    <row r="55" spans="1:48" x14ac:dyDescent="0.35">
      <c r="A55" s="27"/>
      <c r="B55" s="18" t="s">
        <v>32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>
        <v>5987.2349999999979</v>
      </c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9">
        <f t="shared" si="2"/>
        <v>5987.2349999999979</v>
      </c>
    </row>
    <row r="56" spans="1:48" x14ac:dyDescent="0.35">
      <c r="A56" s="27"/>
      <c r="B56" s="18" t="s">
        <v>10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>
        <v>13186</v>
      </c>
      <c r="V56" s="18"/>
      <c r="W56" s="18"/>
      <c r="X56" s="18"/>
      <c r="Y56" s="18"/>
      <c r="Z56" s="18">
        <v>11341.310000000009</v>
      </c>
      <c r="AA56" s="18"/>
      <c r="AB56" s="18">
        <v>1788.75</v>
      </c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9">
        <f t="shared" si="2"/>
        <v>26316.060000000009</v>
      </c>
    </row>
    <row r="57" spans="1:48" x14ac:dyDescent="0.35">
      <c r="A57" s="27"/>
      <c r="B57" s="18" t="s">
        <v>20</v>
      </c>
      <c r="C57" s="18"/>
      <c r="D57" s="18"/>
      <c r="E57" s="18">
        <v>4708.5000000000018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>
        <v>5064.7400000000016</v>
      </c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>
        <v>10968.469999999996</v>
      </c>
      <c r="AU57" s="18"/>
      <c r="AV57" s="19">
        <f t="shared" si="2"/>
        <v>20741.71</v>
      </c>
    </row>
    <row r="58" spans="1:48" x14ac:dyDescent="0.35">
      <c r="A58" s="27"/>
      <c r="B58" s="18" t="s">
        <v>87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>
        <v>900</v>
      </c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>
        <v>1125</v>
      </c>
      <c r="AP58" s="18"/>
      <c r="AQ58" s="18"/>
      <c r="AR58" s="18"/>
      <c r="AS58" s="18"/>
      <c r="AT58" s="18"/>
      <c r="AU58" s="18"/>
      <c r="AV58" s="19">
        <f t="shared" si="2"/>
        <v>2025</v>
      </c>
    </row>
    <row r="59" spans="1:48" x14ac:dyDescent="0.35">
      <c r="A59" s="27"/>
      <c r="B59" s="18" t="s">
        <v>21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9">
        <f t="shared" si="2"/>
        <v>0</v>
      </c>
    </row>
    <row r="60" spans="1:48" x14ac:dyDescent="0.35">
      <c r="A60" s="27"/>
      <c r="B60" s="18" t="s">
        <v>24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>
        <v>6669</v>
      </c>
      <c r="X60" s="18"/>
      <c r="Y60" s="18"/>
      <c r="Z60" s="18">
        <v>52441.940000000061</v>
      </c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>
        <v>67850.51999999999</v>
      </c>
      <c r="AQ60" s="18"/>
      <c r="AR60" s="18"/>
      <c r="AS60" s="18"/>
      <c r="AT60" s="18">
        <v>24667.379999999896</v>
      </c>
      <c r="AU60" s="18">
        <v>6706.9400000000005</v>
      </c>
      <c r="AV60" s="19">
        <f t="shared" si="2"/>
        <v>158335.77999999994</v>
      </c>
    </row>
    <row r="61" spans="1:48" x14ac:dyDescent="0.35">
      <c r="A61" s="27"/>
      <c r="B61" s="18" t="s">
        <v>12</v>
      </c>
      <c r="C61" s="18"/>
      <c r="D61" s="18"/>
      <c r="E61" s="18"/>
      <c r="F61" s="18">
        <v>2940</v>
      </c>
      <c r="G61" s="18"/>
      <c r="H61" s="18"/>
      <c r="I61" s="18">
        <v>4776.6000000000004</v>
      </c>
      <c r="J61" s="18"/>
      <c r="K61" s="18"/>
      <c r="L61" s="18"/>
      <c r="M61" s="18"/>
      <c r="N61" s="18"/>
      <c r="O61" s="18"/>
      <c r="P61" s="18">
        <v>3318.75</v>
      </c>
      <c r="Q61" s="18"/>
      <c r="R61" s="18"/>
      <c r="S61" s="18"/>
      <c r="T61" s="18"/>
      <c r="U61" s="18"/>
      <c r="V61" s="18">
        <v>4605.6000000000004</v>
      </c>
      <c r="W61" s="18"/>
      <c r="X61" s="18"/>
      <c r="Y61" s="18"/>
      <c r="Z61" s="18">
        <v>28123.45</v>
      </c>
      <c r="AA61" s="18"/>
      <c r="AB61" s="18"/>
      <c r="AC61" s="18"/>
      <c r="AD61" s="18">
        <v>780</v>
      </c>
      <c r="AE61" s="18"/>
      <c r="AF61" s="18"/>
      <c r="AG61" s="18"/>
      <c r="AH61" s="18">
        <v>3268.125</v>
      </c>
      <c r="AI61" s="18">
        <v>4128.0749999999989</v>
      </c>
      <c r="AJ61" s="18">
        <v>8002.5</v>
      </c>
      <c r="AK61" s="18">
        <v>2609.13</v>
      </c>
      <c r="AL61" s="18"/>
      <c r="AM61" s="18"/>
      <c r="AN61" s="18"/>
      <c r="AO61" s="18">
        <v>13771.799999999994</v>
      </c>
      <c r="AP61" s="18"/>
      <c r="AQ61" s="18"/>
      <c r="AR61" s="18"/>
      <c r="AS61" s="18"/>
      <c r="AT61" s="18"/>
      <c r="AU61" s="18"/>
      <c r="AV61" s="19">
        <f t="shared" si="2"/>
        <v>76324.029999999984</v>
      </c>
    </row>
    <row r="62" spans="1:48" x14ac:dyDescent="0.35">
      <c r="A62" s="27"/>
      <c r="B62" s="18" t="s">
        <v>13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9">
        <f t="shared" si="2"/>
        <v>0</v>
      </c>
    </row>
    <row r="63" spans="1:48" x14ac:dyDescent="0.35">
      <c r="A63" s="27"/>
      <c r="B63" s="18" t="s">
        <v>14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>
        <v>4602.5749999999998</v>
      </c>
      <c r="R63" s="18"/>
      <c r="S63" s="18"/>
      <c r="T63" s="18"/>
      <c r="U63" s="18"/>
      <c r="V63" s="18"/>
      <c r="W63" s="18"/>
      <c r="X63" s="18"/>
      <c r="Y63" s="18"/>
      <c r="Z63" s="18">
        <v>12264.890000000014</v>
      </c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>
        <v>11426.420000000002</v>
      </c>
      <c r="AU63" s="18"/>
      <c r="AV63" s="19">
        <f t="shared" si="2"/>
        <v>28293.885000000017</v>
      </c>
    </row>
    <row r="64" spans="1:48" x14ac:dyDescent="0.35">
      <c r="A64" s="27"/>
      <c r="B64" s="18" t="s">
        <v>25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9">
        <f t="shared" si="2"/>
        <v>0</v>
      </c>
    </row>
    <row r="65" spans="1:48" x14ac:dyDescent="0.35">
      <c r="A65" s="27"/>
      <c r="B65" s="18" t="s">
        <v>88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>
        <v>502.80000000000007</v>
      </c>
      <c r="AU65" s="18"/>
      <c r="AV65" s="19">
        <f t="shared" si="2"/>
        <v>502.80000000000007</v>
      </c>
    </row>
    <row r="66" spans="1:48" x14ac:dyDescent="0.35">
      <c r="A66" s="27"/>
      <c r="B66" s="18" t="s">
        <v>89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>
        <v>4398.7500000000018</v>
      </c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9">
        <f t="shared" si="2"/>
        <v>4398.7500000000018</v>
      </c>
    </row>
    <row r="67" spans="1:48" x14ac:dyDescent="0.35">
      <c r="A67" s="27"/>
      <c r="B67" s="18" t="s">
        <v>90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>
        <v>562.64</v>
      </c>
      <c r="AU67" s="18"/>
      <c r="AV67" s="19">
        <f t="shared" si="2"/>
        <v>562.64</v>
      </c>
    </row>
    <row r="68" spans="1:48" x14ac:dyDescent="0.35">
      <c r="A68" s="27"/>
      <c r="B68" s="18" t="s">
        <v>26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>
        <v>4410</v>
      </c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>
        <v>10768.999999999998</v>
      </c>
      <c r="AU68" s="18"/>
      <c r="AV68" s="19">
        <f t="shared" si="2"/>
        <v>15178.999999999998</v>
      </c>
    </row>
    <row r="69" spans="1:48" x14ac:dyDescent="0.35">
      <c r="A69" s="27"/>
      <c r="B69" s="18" t="s">
        <v>91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>
        <v>5954.25</v>
      </c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9">
        <f t="shared" si="2"/>
        <v>5954.25</v>
      </c>
    </row>
    <row r="70" spans="1:48" x14ac:dyDescent="0.35">
      <c r="A70" s="27"/>
      <c r="B70" s="18" t="s">
        <v>92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9">
        <f t="shared" si="2"/>
        <v>0</v>
      </c>
    </row>
    <row r="71" spans="1:48" x14ac:dyDescent="0.35">
      <c r="A71" s="27"/>
      <c r="B71" s="18" t="s">
        <v>27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>
        <v>7881</v>
      </c>
      <c r="AA71" s="18"/>
      <c r="AB71" s="18"/>
      <c r="AC71" s="18"/>
      <c r="AD71" s="18"/>
      <c r="AE71" s="18"/>
      <c r="AF71" s="18">
        <v>2274.3250000000003</v>
      </c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>
        <v>4533.375</v>
      </c>
      <c r="AU71" s="18"/>
      <c r="AV71" s="19">
        <f t="shared" si="2"/>
        <v>14688.7</v>
      </c>
    </row>
    <row r="72" spans="1:48" x14ac:dyDescent="0.35">
      <c r="A72" s="27"/>
      <c r="B72" s="18" t="s">
        <v>22</v>
      </c>
      <c r="C72" s="18"/>
      <c r="D72" s="18"/>
      <c r="E72" s="18"/>
      <c r="F72" s="18"/>
      <c r="G72" s="18">
        <v>1305.25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>
        <v>524.69999999999993</v>
      </c>
      <c r="AA72" s="18"/>
      <c r="AB72" s="18"/>
      <c r="AC72" s="18"/>
      <c r="AD72" s="18">
        <v>1300</v>
      </c>
      <c r="AE72" s="18"/>
      <c r="AF72" s="18"/>
      <c r="AG72" s="18"/>
      <c r="AH72" s="18"/>
      <c r="AI72" s="18">
        <v>3267</v>
      </c>
      <c r="AJ72" s="18"/>
      <c r="AK72" s="18"/>
      <c r="AL72" s="18"/>
      <c r="AM72" s="18"/>
      <c r="AN72" s="18"/>
      <c r="AO72" s="18">
        <v>2754.4</v>
      </c>
      <c r="AP72" s="18"/>
      <c r="AQ72" s="18"/>
      <c r="AR72" s="18"/>
      <c r="AS72" s="18"/>
      <c r="AT72" s="18"/>
      <c r="AU72" s="18"/>
      <c r="AV72" s="19">
        <f t="shared" si="2"/>
        <v>9151.35</v>
      </c>
    </row>
    <row r="73" spans="1:48" x14ac:dyDescent="0.35">
      <c r="A73" s="27"/>
      <c r="B73" s="18" t="s">
        <v>17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>
        <v>3301.875</v>
      </c>
      <c r="AI73" s="18"/>
      <c r="AJ73" s="18"/>
      <c r="AK73" s="18">
        <v>2903.55</v>
      </c>
      <c r="AL73" s="18">
        <v>3522</v>
      </c>
      <c r="AM73" s="18"/>
      <c r="AN73" s="18"/>
      <c r="AO73" s="18">
        <v>3301.875</v>
      </c>
      <c r="AP73" s="18"/>
      <c r="AQ73" s="18"/>
      <c r="AR73" s="18"/>
      <c r="AS73" s="18"/>
      <c r="AT73" s="18"/>
      <c r="AU73" s="18"/>
      <c r="AV73" s="19">
        <f t="shared" si="2"/>
        <v>13029.3</v>
      </c>
    </row>
    <row r="74" spans="1:48" x14ac:dyDescent="0.35">
      <c r="A74" s="27"/>
      <c r="B74" s="18" t="s">
        <v>93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>
        <v>5263.65</v>
      </c>
      <c r="AU74" s="18"/>
      <c r="AV74" s="19">
        <f t="shared" si="2"/>
        <v>5263.65</v>
      </c>
    </row>
    <row r="75" spans="1:48" x14ac:dyDescent="0.35">
      <c r="A75" s="27"/>
      <c r="B75" s="21" t="s">
        <v>18</v>
      </c>
      <c r="C75" s="21">
        <f>SUBTOTAL(109,Table18[3D Recruitment])</f>
        <v>0</v>
      </c>
      <c r="D75" s="21">
        <f>SUBTOTAL(109,Table18[App Locum])</f>
        <v>6380</v>
      </c>
      <c r="E75" s="21">
        <f>SUBTOTAL(109,Table18[Athona])</f>
        <v>4708.5000000000018</v>
      </c>
      <c r="F75" s="21">
        <f>SUBTOTAL(109,Table18[Beacon])</f>
        <v>2940</v>
      </c>
      <c r="G75" s="21">
        <f>SUBTOTAL(109,Table18[Biggs Healthcare])</f>
        <v>1305.25</v>
      </c>
      <c r="H75" s="21">
        <f>SUBTOTAL(109,Table18[Care Solutions])</f>
        <v>0</v>
      </c>
      <c r="I75" s="21">
        <f>SUBTOTAL(109,Table18[CES Locums])</f>
        <v>4776.6000000000004</v>
      </c>
      <c r="J75" s="21">
        <f>SUBTOTAL(109,Table18[Chase Medical])</f>
        <v>0</v>
      </c>
      <c r="K75" s="21">
        <f>SUBTOTAL(109,Table18[Day Webster])</f>
        <v>0</v>
      </c>
      <c r="L75" s="21">
        <f>SUBTOTAL(109,Table18[DRC Locums])</f>
        <v>0</v>
      </c>
      <c r="M75" s="21">
        <f>SUBTOTAL(109,Table18[Enviva Care])</f>
        <v>0</v>
      </c>
      <c r="N75" s="21">
        <f>SUBTOTAL(109,Table18[HCL])</f>
        <v>0</v>
      </c>
      <c r="O75" s="21">
        <f>SUBTOTAL(109,Table18[Hourglass])</f>
        <v>0</v>
      </c>
      <c r="P75" s="21">
        <f>SUBTOTAL(109,Table18[Hunter Mental Health])</f>
        <v>3318.75</v>
      </c>
      <c r="Q75" s="21">
        <f>SUBTOTAL(109,Table18[ID Medical])</f>
        <v>4602.5749999999998</v>
      </c>
      <c r="R75" s="21">
        <f>SUBTOTAL(109,Table18[IMC LOCUMS])</f>
        <v>0</v>
      </c>
      <c r="S75" s="21">
        <f>SUBTOTAL(109,Table18[Locummeds])</f>
        <v>0</v>
      </c>
      <c r="T75" s="21">
        <f>SUBTOTAL(109,Table18[Maxxima Ltd t/a Labmed Recruitment])</f>
        <v>0</v>
      </c>
      <c r="U75" s="21">
        <f>SUBTOTAL(109,Table18[Medicare Health Professional])</f>
        <v>13186</v>
      </c>
      <c r="V75" s="21">
        <f>SUBTOTAL(109,Table18[Medicure Professional LTD])</f>
        <v>4605.6000000000004</v>
      </c>
      <c r="W75" s="21">
        <f>SUBTOTAL(109,Table18[Medilink])</f>
        <v>6669</v>
      </c>
      <c r="X75" s="21">
        <f>SUBTOTAL(109,Table18[Medsol Healthcare Services Ltd])</f>
        <v>0</v>
      </c>
      <c r="Y75" s="21">
        <f>SUBTOTAL(109,Table18[MHP])</f>
        <v>0</v>
      </c>
      <c r="Z75" s="21">
        <f>SUBTOTAL(109,Table18[MSI Recruitment])</f>
        <v>133082.26500000007</v>
      </c>
      <c r="AA75" s="21">
        <f>SUBTOTAL(109,Table18[MSU])</f>
        <v>0</v>
      </c>
      <c r="AB75" s="21">
        <f>SUBTOTAL(109,Table18[NURSING 2000])</f>
        <v>6187.5000000000018</v>
      </c>
      <c r="AC75" s="21">
        <f>SUBTOTAL(109,Table18[P E Global Healthcare])</f>
        <v>0</v>
      </c>
      <c r="AD75" s="21">
        <f>SUBTOTAL(109,Table18[PerTemps])</f>
        <v>2080</v>
      </c>
      <c r="AE75" s="21">
        <f>SUBTOTAL(109,Table18[PSL RECRUITMENT])</f>
        <v>0</v>
      </c>
      <c r="AF75" s="21">
        <f>SUBTOTAL(109,Table18[Pulse])</f>
        <v>8228.5750000000007</v>
      </c>
      <c r="AG75" s="21">
        <f>SUBTOTAL(109,Table18[Redspot Care Ltd])</f>
        <v>0</v>
      </c>
      <c r="AH75" s="21">
        <f>SUBTOTAL(109,Table18[Sanctuary])</f>
        <v>6570</v>
      </c>
      <c r="AI75" s="21">
        <f>SUBTOTAL(109,Table18[Sensible Staffing])</f>
        <v>7395.0749999999989</v>
      </c>
      <c r="AJ75" s="21">
        <f>SUBTOTAL(109,Table18[Service Care Solutions])</f>
        <v>8002.5</v>
      </c>
      <c r="AK75" s="21">
        <f>SUBTOTAL(109,Table18[Seven Resoucing])</f>
        <v>5512.68</v>
      </c>
      <c r="AL75" s="21">
        <f>SUBTOTAL(109,Table18[Seven Social Care])</f>
        <v>3522</v>
      </c>
      <c r="AM75" s="21">
        <f>SUBTOTAL(109,Table18[TBC])</f>
        <v>0</v>
      </c>
      <c r="AN75" s="21">
        <f>SUBTOTAL(109,Table18[The London Teaching Pool])</f>
        <v>0</v>
      </c>
      <c r="AO75" s="21">
        <f>SUBTOTAL(109,Table18[Tripod])</f>
        <v>20953.074999999993</v>
      </c>
      <c r="AP75" s="21">
        <f>SUBTOTAL(109,Table18[Unity Healthcare])</f>
        <v>67850.51999999999</v>
      </c>
      <c r="AQ75" s="21">
        <f>SUBTOTAL(109,Table18[West Meria])</f>
        <v>0</v>
      </c>
      <c r="AR75" s="21">
        <f>SUBTOTAL(109,Table18[Your World])</f>
        <v>0</v>
      </c>
      <c r="AS75" s="21">
        <f>SUBTOTAL(109,Table18[Your World Healthcare])</f>
        <v>0</v>
      </c>
      <c r="AT75" s="21">
        <f>SUBTOTAL(109,Table18[Your World Nursing])</f>
        <v>73125.154999999882</v>
      </c>
      <c r="AU75" s="21">
        <f>SUBTOTAL(109,Table18[Your World Recruitment Ltd])</f>
        <v>6706.9400000000005</v>
      </c>
      <c r="AV75" s="21">
        <f>SUBTOTAL(109,Table18[Grand Total])</f>
        <v>401708.55999999994</v>
      </c>
    </row>
    <row r="77" spans="1:48" x14ac:dyDescent="0.35">
      <c r="B77" s="17" t="s">
        <v>39</v>
      </c>
      <c r="C77" s="17" t="s">
        <v>40</v>
      </c>
      <c r="D77" s="17" t="s">
        <v>41</v>
      </c>
      <c r="E77" s="17" t="s">
        <v>42</v>
      </c>
      <c r="F77" s="17" t="s">
        <v>43</v>
      </c>
      <c r="G77" s="17" t="s">
        <v>44</v>
      </c>
      <c r="H77" s="17" t="s">
        <v>45</v>
      </c>
      <c r="I77" s="17" t="s">
        <v>46</v>
      </c>
      <c r="J77" s="17" t="s">
        <v>47</v>
      </c>
      <c r="K77" s="17" t="s">
        <v>48</v>
      </c>
      <c r="L77" s="17" t="s">
        <v>49</v>
      </c>
      <c r="M77" s="17" t="s">
        <v>50</v>
      </c>
      <c r="N77" s="17" t="s">
        <v>51</v>
      </c>
      <c r="O77" s="17" t="s">
        <v>52</v>
      </c>
      <c r="P77" s="17" t="s">
        <v>53</v>
      </c>
      <c r="Q77" s="17" t="s">
        <v>54</v>
      </c>
      <c r="R77" s="17" t="s">
        <v>55</v>
      </c>
      <c r="S77" s="17" t="s">
        <v>56</v>
      </c>
      <c r="T77" s="17" t="s">
        <v>57</v>
      </c>
      <c r="U77" s="17" t="s">
        <v>58</v>
      </c>
      <c r="V77" s="17" t="s">
        <v>59</v>
      </c>
      <c r="W77" s="17" t="s">
        <v>60</v>
      </c>
      <c r="X77" s="17" t="s">
        <v>61</v>
      </c>
      <c r="Y77" s="17" t="s">
        <v>62</v>
      </c>
      <c r="Z77" s="17" t="s">
        <v>63</v>
      </c>
      <c r="AA77" s="17" t="s">
        <v>64</v>
      </c>
      <c r="AB77" s="17" t="s">
        <v>65</v>
      </c>
      <c r="AC77" s="17" t="s">
        <v>66</v>
      </c>
      <c r="AD77" s="17" t="s">
        <v>67</v>
      </c>
      <c r="AE77" s="17" t="s">
        <v>68</v>
      </c>
      <c r="AF77" s="17" t="s">
        <v>69</v>
      </c>
      <c r="AG77" s="17" t="s">
        <v>70</v>
      </c>
      <c r="AH77" s="17" t="s">
        <v>71</v>
      </c>
      <c r="AI77" s="17" t="s">
        <v>72</v>
      </c>
      <c r="AJ77" s="17" t="s">
        <v>73</v>
      </c>
      <c r="AK77" s="17" t="s">
        <v>74</v>
      </c>
      <c r="AL77" s="17" t="s">
        <v>75</v>
      </c>
      <c r="AM77" s="17" t="s">
        <v>76</v>
      </c>
      <c r="AN77" s="17" t="s">
        <v>77</v>
      </c>
      <c r="AO77" s="17" t="s">
        <v>78</v>
      </c>
      <c r="AP77" s="17" t="s">
        <v>79</v>
      </c>
      <c r="AQ77" s="17" t="s">
        <v>80</v>
      </c>
      <c r="AR77" s="17" t="s">
        <v>81</v>
      </c>
      <c r="AS77" s="17" t="s">
        <v>82</v>
      </c>
      <c r="AT77" s="17" t="s">
        <v>83</v>
      </c>
      <c r="AU77" s="17" t="s">
        <v>84</v>
      </c>
      <c r="AV77" s="16" t="s">
        <v>8</v>
      </c>
    </row>
    <row r="78" spans="1:48" x14ac:dyDescent="0.35">
      <c r="A78" s="26" t="s">
        <v>28</v>
      </c>
      <c r="B78" s="18" t="s">
        <v>117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>
        <v>213.45000000000002</v>
      </c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9">
        <f t="shared" ref="AV78:AV102" si="3">SUM(A78:AU78)</f>
        <v>213.45000000000002</v>
      </c>
    </row>
    <row r="79" spans="1:48" x14ac:dyDescent="0.35">
      <c r="A79" s="27"/>
      <c r="B79" s="18" t="s">
        <v>95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>
        <v>3709.125</v>
      </c>
      <c r="AR79" s="18"/>
      <c r="AS79" s="18"/>
      <c r="AT79" s="18"/>
      <c r="AU79" s="18"/>
      <c r="AV79" s="19">
        <f t="shared" si="3"/>
        <v>3709.125</v>
      </c>
    </row>
    <row r="80" spans="1:48" x14ac:dyDescent="0.35">
      <c r="A80" s="27"/>
      <c r="B80" s="18" t="s">
        <v>85</v>
      </c>
      <c r="C80" s="18"/>
      <c r="D80" s="18">
        <v>7714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9">
        <f t="shared" si="3"/>
        <v>7714</v>
      </c>
    </row>
    <row r="81" spans="1:48" x14ac:dyDescent="0.35">
      <c r="A81" s="27"/>
      <c r="B81" s="18" t="s">
        <v>86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>
        <v>3804.2599999999993</v>
      </c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>
        <v>5651.9550000000008</v>
      </c>
      <c r="AR81" s="18"/>
      <c r="AS81" s="18"/>
      <c r="AT81" s="18"/>
      <c r="AU81" s="18"/>
      <c r="AV81" s="19">
        <f t="shared" si="3"/>
        <v>9456.2150000000001</v>
      </c>
    </row>
    <row r="82" spans="1:48" x14ac:dyDescent="0.35">
      <c r="A82" s="27"/>
      <c r="B82" s="18" t="s">
        <v>32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>
        <v>7043.8499999999958</v>
      </c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9">
        <f t="shared" si="3"/>
        <v>7043.8499999999958</v>
      </c>
    </row>
    <row r="83" spans="1:48" x14ac:dyDescent="0.35">
      <c r="A83" s="27"/>
      <c r="B83" s="18" t="s">
        <v>29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>
        <v>11407.5</v>
      </c>
      <c r="V83" s="18"/>
      <c r="W83" s="18"/>
      <c r="X83" s="18"/>
      <c r="Y83" s="18"/>
      <c r="Z83" s="18">
        <v>10928.640000000005</v>
      </c>
      <c r="AA83" s="18"/>
      <c r="AB83" s="18">
        <v>3324.295000000001</v>
      </c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9">
        <f t="shared" si="3"/>
        <v>25660.435000000009</v>
      </c>
    </row>
    <row r="84" spans="1:48" x14ac:dyDescent="0.35">
      <c r="A84" s="27"/>
      <c r="B84" s="18" t="s">
        <v>20</v>
      </c>
      <c r="C84" s="18"/>
      <c r="D84" s="18"/>
      <c r="E84" s="18">
        <v>4237.6500000000015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>
        <v>2619.0950000000003</v>
      </c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>
        <v>9289.2399999999961</v>
      </c>
      <c r="AR84" s="18"/>
      <c r="AS84" s="18"/>
      <c r="AT84" s="18"/>
      <c r="AU84" s="18"/>
      <c r="AV84" s="19">
        <f t="shared" si="3"/>
        <v>16145.984999999997</v>
      </c>
    </row>
    <row r="85" spans="1:48" x14ac:dyDescent="0.35">
      <c r="A85" s="27"/>
      <c r="B85" s="18" t="s">
        <v>87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>
        <v>1575</v>
      </c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>
        <v>900</v>
      </c>
      <c r="AP85" s="18"/>
      <c r="AQ85" s="18"/>
      <c r="AR85" s="18"/>
      <c r="AS85" s="18"/>
      <c r="AT85" s="18"/>
      <c r="AU85" s="18"/>
      <c r="AV85" s="19">
        <f t="shared" si="3"/>
        <v>2475</v>
      </c>
    </row>
    <row r="86" spans="1:48" x14ac:dyDescent="0.35">
      <c r="A86" s="27"/>
      <c r="B86" s="18" t="s">
        <v>21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9">
        <f t="shared" si="3"/>
        <v>0</v>
      </c>
    </row>
    <row r="87" spans="1:48" x14ac:dyDescent="0.35">
      <c r="A87" s="27"/>
      <c r="B87" s="18" t="s">
        <v>24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>
        <v>9401</v>
      </c>
      <c r="X87" s="18"/>
      <c r="Y87" s="18"/>
      <c r="Z87" s="18">
        <v>49314.585000000036</v>
      </c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>
        <v>104477.5</v>
      </c>
      <c r="AQ87" s="18">
        <v>11787.759999999991</v>
      </c>
      <c r="AR87" s="18"/>
      <c r="AS87" s="18">
        <v>19679.199999999997</v>
      </c>
      <c r="AT87" s="18">
        <v>842.87999999999988</v>
      </c>
      <c r="AU87" s="18">
        <v>4050.3149999999996</v>
      </c>
      <c r="AV87" s="19">
        <f t="shared" si="3"/>
        <v>199553.24</v>
      </c>
    </row>
    <row r="88" spans="1:48" x14ac:dyDescent="0.35">
      <c r="A88" s="27"/>
      <c r="B88" s="18" t="s">
        <v>12</v>
      </c>
      <c r="C88" s="18"/>
      <c r="D88" s="18"/>
      <c r="E88" s="18"/>
      <c r="F88" s="18"/>
      <c r="G88" s="18"/>
      <c r="H88" s="18"/>
      <c r="I88" s="18">
        <v>5279.4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>
        <v>5161.2000000000007</v>
      </c>
      <c r="W88" s="18"/>
      <c r="X88" s="18"/>
      <c r="Y88" s="18"/>
      <c r="Z88" s="18">
        <v>30666.880000000001</v>
      </c>
      <c r="AA88" s="18"/>
      <c r="AB88" s="18"/>
      <c r="AC88" s="18"/>
      <c r="AD88" s="18"/>
      <c r="AE88" s="18"/>
      <c r="AF88" s="18"/>
      <c r="AG88" s="18"/>
      <c r="AH88" s="18">
        <v>6397.5</v>
      </c>
      <c r="AI88" s="18">
        <v>4128.0749999999989</v>
      </c>
      <c r="AJ88" s="18">
        <v>6570</v>
      </c>
      <c r="AK88" s="18"/>
      <c r="AL88" s="18"/>
      <c r="AM88" s="18"/>
      <c r="AN88" s="18"/>
      <c r="AO88" s="18">
        <v>15213.599999999995</v>
      </c>
      <c r="AP88" s="18"/>
      <c r="AQ88" s="18"/>
      <c r="AR88" s="18"/>
      <c r="AS88" s="18"/>
      <c r="AT88" s="18"/>
      <c r="AU88" s="18"/>
      <c r="AV88" s="19">
        <f t="shared" si="3"/>
        <v>73416.654999999999</v>
      </c>
    </row>
    <row r="89" spans="1:48" x14ac:dyDescent="0.35">
      <c r="A89" s="27"/>
      <c r="B89" s="18" t="s">
        <v>13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9">
        <f t="shared" si="3"/>
        <v>0</v>
      </c>
    </row>
    <row r="90" spans="1:48" x14ac:dyDescent="0.35">
      <c r="A90" s="27"/>
      <c r="B90" s="18" t="s">
        <v>14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>
        <v>6469.5350000000035</v>
      </c>
      <c r="R90" s="18"/>
      <c r="S90" s="18"/>
      <c r="T90" s="18"/>
      <c r="U90" s="18"/>
      <c r="V90" s="18"/>
      <c r="W90" s="18"/>
      <c r="X90" s="18"/>
      <c r="Y90" s="18"/>
      <c r="Z90" s="18">
        <v>11629.605000000012</v>
      </c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>
        <v>13773.955</v>
      </c>
      <c r="AR90" s="18"/>
      <c r="AS90" s="18"/>
      <c r="AT90" s="18"/>
      <c r="AU90" s="18"/>
      <c r="AV90" s="19">
        <f t="shared" si="3"/>
        <v>31873.095000000016</v>
      </c>
    </row>
    <row r="91" spans="1:48" x14ac:dyDescent="0.35">
      <c r="A91" s="27"/>
      <c r="B91" s="18" t="s">
        <v>25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9">
        <f t="shared" si="3"/>
        <v>0</v>
      </c>
    </row>
    <row r="92" spans="1:48" x14ac:dyDescent="0.35">
      <c r="A92" s="27"/>
      <c r="B92" s="18" t="s">
        <v>89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>
        <v>3743.5500000000011</v>
      </c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9">
        <f t="shared" si="3"/>
        <v>3743.5500000000011</v>
      </c>
    </row>
    <row r="93" spans="1:48" x14ac:dyDescent="0.35">
      <c r="A93" s="27"/>
      <c r="B93" s="18" t="s">
        <v>90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>
        <v>952.16</v>
      </c>
      <c r="AR93" s="18"/>
      <c r="AS93" s="18"/>
      <c r="AT93" s="18"/>
      <c r="AU93" s="18"/>
      <c r="AV93" s="19">
        <f t="shared" si="3"/>
        <v>952.16</v>
      </c>
    </row>
    <row r="94" spans="1:48" x14ac:dyDescent="0.35">
      <c r="A94" s="27"/>
      <c r="B94" s="18" t="s">
        <v>26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>
        <v>5012</v>
      </c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>
        <v>10794.604999999996</v>
      </c>
      <c r="AR94" s="18"/>
      <c r="AS94" s="18"/>
      <c r="AT94" s="18"/>
      <c r="AU94" s="18"/>
      <c r="AV94" s="19">
        <f t="shared" si="3"/>
        <v>15806.604999999996</v>
      </c>
    </row>
    <row r="95" spans="1:48" x14ac:dyDescent="0.35">
      <c r="A95" s="27"/>
      <c r="B95" s="18" t="s">
        <v>91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>
        <v>6304.5</v>
      </c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9">
        <f t="shared" si="3"/>
        <v>6304.5</v>
      </c>
    </row>
    <row r="96" spans="1:48" x14ac:dyDescent="0.35">
      <c r="A96" s="27"/>
      <c r="B96" s="18" t="s">
        <v>92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9">
        <f t="shared" si="3"/>
        <v>0</v>
      </c>
    </row>
    <row r="97" spans="1:48" x14ac:dyDescent="0.35">
      <c r="A97" s="27"/>
      <c r="B97" s="18" t="s">
        <v>27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>
        <v>1929.2550000000001</v>
      </c>
      <c r="N97" s="18"/>
      <c r="O97" s="18"/>
      <c r="P97" s="18"/>
      <c r="Q97" s="18"/>
      <c r="R97" s="18"/>
      <c r="S97" s="18"/>
      <c r="T97" s="18">
        <v>669.56999999999994</v>
      </c>
      <c r="U97" s="18"/>
      <c r="V97" s="18"/>
      <c r="W97" s="18"/>
      <c r="X97" s="18">
        <v>7899.5</v>
      </c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>
        <v>1236.375</v>
      </c>
      <c r="AT97" s="18"/>
      <c r="AU97" s="18"/>
      <c r="AV97" s="19">
        <f t="shared" si="3"/>
        <v>11734.7</v>
      </c>
    </row>
    <row r="98" spans="1:48" x14ac:dyDescent="0.35">
      <c r="A98" s="27"/>
      <c r="B98" s="18" t="s">
        <v>16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9">
        <f t="shared" si="3"/>
        <v>0</v>
      </c>
    </row>
    <row r="99" spans="1:48" x14ac:dyDescent="0.35">
      <c r="A99" s="27"/>
      <c r="B99" s="18" t="s">
        <v>96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>
        <v>431.25</v>
      </c>
      <c r="AP99" s="18"/>
      <c r="AQ99" s="18"/>
      <c r="AR99" s="18"/>
      <c r="AS99" s="18"/>
      <c r="AT99" s="18"/>
      <c r="AU99" s="18"/>
      <c r="AV99" s="19">
        <f t="shared" si="3"/>
        <v>431.25</v>
      </c>
    </row>
    <row r="100" spans="1:48" x14ac:dyDescent="0.35">
      <c r="A100" s="27"/>
      <c r="B100" s="18" t="s">
        <v>22</v>
      </c>
      <c r="C100" s="18"/>
      <c r="D100" s="18"/>
      <c r="E100" s="18"/>
      <c r="F100" s="18"/>
      <c r="G100" s="18">
        <v>1381.9549999999999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>
        <v>1452</v>
      </c>
      <c r="AJ100" s="18"/>
      <c r="AK100" s="18"/>
      <c r="AL100" s="18"/>
      <c r="AM100" s="18"/>
      <c r="AN100" s="18"/>
      <c r="AO100" s="18">
        <v>649.21</v>
      </c>
      <c r="AP100" s="18"/>
      <c r="AQ100" s="18"/>
      <c r="AR100" s="18"/>
      <c r="AS100" s="18"/>
      <c r="AT100" s="18"/>
      <c r="AU100" s="18"/>
      <c r="AV100" s="19">
        <f t="shared" si="3"/>
        <v>3483.165</v>
      </c>
    </row>
    <row r="101" spans="1:48" x14ac:dyDescent="0.35">
      <c r="A101" s="27"/>
      <c r="B101" s="18" t="s">
        <v>17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>
        <v>2903.5499999999993</v>
      </c>
      <c r="AL101" s="18">
        <v>2641.5</v>
      </c>
      <c r="AM101" s="18"/>
      <c r="AN101" s="18"/>
      <c r="AO101" s="18">
        <v>2421.375</v>
      </c>
      <c r="AP101" s="18"/>
      <c r="AQ101" s="18"/>
      <c r="AR101" s="18"/>
      <c r="AS101" s="18"/>
      <c r="AT101" s="18"/>
      <c r="AU101" s="18"/>
      <c r="AV101" s="19">
        <f t="shared" si="3"/>
        <v>7966.4249999999993</v>
      </c>
    </row>
    <row r="102" spans="1:48" x14ac:dyDescent="0.35">
      <c r="A102" s="27"/>
      <c r="B102" s="18" t="s">
        <v>93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>
        <v>6165.989999999998</v>
      </c>
      <c r="AR102" s="18"/>
      <c r="AS102" s="18"/>
      <c r="AT102" s="18"/>
      <c r="AU102" s="18"/>
      <c r="AV102" s="19">
        <f t="shared" si="3"/>
        <v>6165.989999999998</v>
      </c>
    </row>
    <row r="103" spans="1:48" x14ac:dyDescent="0.35">
      <c r="A103" s="27"/>
      <c r="B103" s="21" t="s">
        <v>18</v>
      </c>
      <c r="C103" s="21">
        <f>SUBTOTAL(109,Table19[3D Recruitment])</f>
        <v>0</v>
      </c>
      <c r="D103" s="21">
        <f>SUBTOTAL(109,Table19[App Locum])</f>
        <v>7714</v>
      </c>
      <c r="E103" s="21">
        <f>SUBTOTAL(109,Table19[Athona])</f>
        <v>4237.6500000000015</v>
      </c>
      <c r="F103" s="21">
        <f>SUBTOTAL(109,Table19[Beacon])</f>
        <v>0</v>
      </c>
      <c r="G103" s="21">
        <f>SUBTOTAL(109,Table19[Biggs Healthcare])</f>
        <v>1381.9549999999999</v>
      </c>
      <c r="H103" s="21">
        <f>SUBTOTAL(109,Table19[Care Solutions])</f>
        <v>0</v>
      </c>
      <c r="I103" s="21">
        <f>SUBTOTAL(109,Table19[CES Locums])</f>
        <v>5279.4</v>
      </c>
      <c r="J103" s="21">
        <f>SUBTOTAL(109,Table19[Chase Medical])</f>
        <v>0</v>
      </c>
      <c r="K103" s="21">
        <f>SUBTOTAL(109,Table19[Day Webster])</f>
        <v>0</v>
      </c>
      <c r="L103" s="21">
        <f>SUBTOTAL(109,Table19[DRC Locums])</f>
        <v>0</v>
      </c>
      <c r="M103" s="21">
        <f>SUBTOTAL(109,Table19[Enviva Care])</f>
        <v>1929.2550000000001</v>
      </c>
      <c r="N103" s="21">
        <f>SUBTOTAL(109,Table19[HCL])</f>
        <v>0</v>
      </c>
      <c r="O103" s="21">
        <f>SUBTOTAL(109,Table19[Hourglass])</f>
        <v>0</v>
      </c>
      <c r="P103" s="21">
        <f>SUBTOTAL(109,Table19[Hunter Mental Health])</f>
        <v>0</v>
      </c>
      <c r="Q103" s="21">
        <f>SUBTOTAL(109,Table19[ID Medical])</f>
        <v>6469.5350000000035</v>
      </c>
      <c r="R103" s="21">
        <f>SUBTOTAL(109,Table19[IMC LOCUMS])</f>
        <v>0</v>
      </c>
      <c r="S103" s="21">
        <f>SUBTOTAL(109,Table19[Locummeds])</f>
        <v>0</v>
      </c>
      <c r="T103" s="21">
        <f>SUBTOTAL(109,Table19[Maxxima Ltd t/a Labmed Recruitment])</f>
        <v>669.56999999999994</v>
      </c>
      <c r="U103" s="21">
        <f>SUBTOTAL(109,Table19[Medicare Health Professional])</f>
        <v>11407.5</v>
      </c>
      <c r="V103" s="21">
        <f>SUBTOTAL(109,Table19[Medicure Professional LTD])</f>
        <v>5161.2000000000007</v>
      </c>
      <c r="W103" s="21">
        <f>SUBTOTAL(109,Table19[Medilink])</f>
        <v>9401</v>
      </c>
      <c r="X103" s="21">
        <f>SUBTOTAL(109,Table19[Medsol Healthcare Services Ltd])</f>
        <v>7899.5</v>
      </c>
      <c r="Y103" s="21">
        <f>SUBTOTAL(109,Table19[MHP])</f>
        <v>0</v>
      </c>
      <c r="Z103" s="21">
        <f>SUBTOTAL(109,Table19[MSI Recruitment])</f>
        <v>122807.36500000005</v>
      </c>
      <c r="AA103" s="21">
        <f>SUBTOTAL(109,Table19[MSU])</f>
        <v>0</v>
      </c>
      <c r="AB103" s="21">
        <f>SUBTOTAL(109,Table19[NURSING 2000])</f>
        <v>7067.8450000000021</v>
      </c>
      <c r="AC103" s="21">
        <f>SUBTOTAL(109,Table19[P E Global Healthcare])</f>
        <v>0</v>
      </c>
      <c r="AD103" s="21">
        <f>SUBTOTAL(109,Table19[PerTemps])</f>
        <v>0</v>
      </c>
      <c r="AE103" s="21">
        <f>SUBTOTAL(109,Table19[PSL RECRUITMENT])</f>
        <v>0</v>
      </c>
      <c r="AF103" s="21">
        <f>SUBTOTAL(109,Table19[Pulse])</f>
        <v>6304.5</v>
      </c>
      <c r="AG103" s="21">
        <f>SUBTOTAL(109,Table19[Redspot Care Ltd])</f>
        <v>0</v>
      </c>
      <c r="AH103" s="21">
        <f>SUBTOTAL(109,Table19[Sanctuary])</f>
        <v>6397.5</v>
      </c>
      <c r="AI103" s="21">
        <f>SUBTOTAL(109,Table19[Sensible Staffing])</f>
        <v>5580.0749999999989</v>
      </c>
      <c r="AJ103" s="21">
        <f>SUBTOTAL(109,Table19[Service Care Solutions])</f>
        <v>6570</v>
      </c>
      <c r="AK103" s="21">
        <f>SUBTOTAL(109,Table19[Seven Resoucing])</f>
        <v>2903.5499999999993</v>
      </c>
      <c r="AL103" s="21">
        <f>SUBTOTAL(109,Table19[Seven Social Care])</f>
        <v>2641.5</v>
      </c>
      <c r="AM103" s="21">
        <f>SUBTOTAL(109,Table19[TBC])</f>
        <v>0</v>
      </c>
      <c r="AN103" s="21">
        <f>SUBTOTAL(109,Table19[The London Teaching Pool])</f>
        <v>0</v>
      </c>
      <c r="AO103" s="21">
        <f>SUBTOTAL(109,Table19[Tripod])</f>
        <v>19615.434999999994</v>
      </c>
      <c r="AP103" s="21">
        <f>SUBTOTAL(109,Table19[Unity Healthcare])</f>
        <v>104477.5</v>
      </c>
      <c r="AQ103" s="21">
        <f>SUBTOTAL(109,Table19[West Meria])</f>
        <v>62124.789999999986</v>
      </c>
      <c r="AR103" s="21">
        <f>SUBTOTAL(109,Table19[Your World])</f>
        <v>0</v>
      </c>
      <c r="AS103" s="21">
        <f>SUBTOTAL(109,Table19[Your World Healthcare])</f>
        <v>20915.574999999997</v>
      </c>
      <c r="AT103" s="21">
        <f>SUBTOTAL(109,Table19[Your World Nursing])</f>
        <v>842.87999999999988</v>
      </c>
      <c r="AU103" s="21">
        <f>SUBTOTAL(109,Table19[Your World Recruitment Ltd])</f>
        <v>4050.3149999999996</v>
      </c>
      <c r="AV103" s="21">
        <f>SUBTOTAL(109,Table19[Grand Total])</f>
        <v>433849.3949999999</v>
      </c>
    </row>
    <row r="105" spans="1:48" x14ac:dyDescent="0.35">
      <c r="A105" s="27" t="s">
        <v>30</v>
      </c>
      <c r="B105" s="17" t="s">
        <v>39</v>
      </c>
      <c r="C105" s="17" t="s">
        <v>40</v>
      </c>
      <c r="D105" s="17" t="s">
        <v>41</v>
      </c>
      <c r="E105" s="17" t="s">
        <v>42</v>
      </c>
      <c r="F105" s="17" t="s">
        <v>43</v>
      </c>
      <c r="G105" s="17" t="s">
        <v>44</v>
      </c>
      <c r="H105" s="17" t="s">
        <v>45</v>
      </c>
      <c r="I105" s="17" t="s">
        <v>46</v>
      </c>
      <c r="J105" s="17" t="s">
        <v>47</v>
      </c>
      <c r="K105" s="17" t="s">
        <v>48</v>
      </c>
      <c r="L105" s="17" t="s">
        <v>49</v>
      </c>
      <c r="M105" s="17" t="s">
        <v>50</v>
      </c>
      <c r="N105" s="17" t="s">
        <v>51</v>
      </c>
      <c r="O105" s="17" t="s">
        <v>52</v>
      </c>
      <c r="P105" s="17" t="s">
        <v>53</v>
      </c>
      <c r="Q105" s="17" t="s">
        <v>54</v>
      </c>
      <c r="R105" s="17" t="s">
        <v>55</v>
      </c>
      <c r="S105" s="17" t="s">
        <v>56</v>
      </c>
      <c r="T105" s="17" t="s">
        <v>57</v>
      </c>
      <c r="U105" s="17" t="s">
        <v>58</v>
      </c>
      <c r="V105" s="17" t="s">
        <v>59</v>
      </c>
      <c r="W105" s="17" t="s">
        <v>60</v>
      </c>
      <c r="X105" s="17" t="s">
        <v>61</v>
      </c>
      <c r="Y105" s="17" t="s">
        <v>62</v>
      </c>
      <c r="Z105" s="17" t="s">
        <v>63</v>
      </c>
      <c r="AA105" s="17" t="s">
        <v>64</v>
      </c>
      <c r="AB105" s="17" t="s">
        <v>65</v>
      </c>
      <c r="AC105" s="17" t="s">
        <v>66</v>
      </c>
      <c r="AD105" s="17" t="s">
        <v>67</v>
      </c>
      <c r="AE105" s="17" t="s">
        <v>68</v>
      </c>
      <c r="AF105" s="17" t="s">
        <v>69</v>
      </c>
      <c r="AG105" s="17" t="s">
        <v>70</v>
      </c>
      <c r="AH105" s="17" t="s">
        <v>71</v>
      </c>
      <c r="AI105" s="17" t="s">
        <v>72</v>
      </c>
      <c r="AJ105" s="17" t="s">
        <v>73</v>
      </c>
      <c r="AK105" s="17" t="s">
        <v>74</v>
      </c>
      <c r="AL105" s="17" t="s">
        <v>75</v>
      </c>
      <c r="AM105" s="17" t="s">
        <v>76</v>
      </c>
      <c r="AN105" s="17" t="s">
        <v>77</v>
      </c>
      <c r="AO105" s="17" t="s">
        <v>78</v>
      </c>
      <c r="AP105" s="17" t="s">
        <v>79</v>
      </c>
      <c r="AQ105" s="17" t="s">
        <v>80</v>
      </c>
      <c r="AR105" s="17" t="s">
        <v>81</v>
      </c>
      <c r="AS105" s="17" t="s">
        <v>82</v>
      </c>
      <c r="AT105" s="17" t="s">
        <v>83</v>
      </c>
      <c r="AU105" s="17" t="s">
        <v>84</v>
      </c>
      <c r="AV105" s="16" t="s">
        <v>8</v>
      </c>
    </row>
    <row r="106" spans="1:48" x14ac:dyDescent="0.35">
      <c r="A106" s="27"/>
      <c r="B106" s="18" t="s">
        <v>117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>
        <v>4482.449999999998</v>
      </c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9">
        <f t="shared" ref="AV106:AV134" si="4">SUM(A106:AU106)</f>
        <v>4482.449999999998</v>
      </c>
    </row>
    <row r="107" spans="1:48" x14ac:dyDescent="0.35">
      <c r="A107" s="27"/>
      <c r="B107" s="18" t="s">
        <v>95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>
        <v>5357.625</v>
      </c>
      <c r="AS107" s="18"/>
      <c r="AT107" s="18"/>
      <c r="AU107" s="18"/>
      <c r="AV107" s="19">
        <f t="shared" si="4"/>
        <v>5357.625</v>
      </c>
    </row>
    <row r="108" spans="1:48" x14ac:dyDescent="0.35">
      <c r="A108" s="27"/>
      <c r="B108" s="18" t="s">
        <v>85</v>
      </c>
      <c r="C108" s="18"/>
      <c r="D108" s="18">
        <v>7627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9">
        <f t="shared" si="4"/>
        <v>7627</v>
      </c>
    </row>
    <row r="109" spans="1:48" x14ac:dyDescent="0.35">
      <c r="A109" s="27"/>
      <c r="B109" s="18" t="s">
        <v>86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>
        <v>3758.6999999999989</v>
      </c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>
        <v>12446.160000000005</v>
      </c>
      <c r="AS109" s="18"/>
      <c r="AT109" s="18"/>
      <c r="AU109" s="18"/>
      <c r="AV109" s="19">
        <f t="shared" si="4"/>
        <v>16204.860000000004</v>
      </c>
    </row>
    <row r="110" spans="1:48" x14ac:dyDescent="0.35">
      <c r="A110" s="27"/>
      <c r="B110" s="18" t="s">
        <v>32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>
        <v>2774.8499999999995</v>
      </c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9">
        <f t="shared" si="4"/>
        <v>2774.8499999999995</v>
      </c>
    </row>
    <row r="111" spans="1:48" x14ac:dyDescent="0.35">
      <c r="A111" s="27"/>
      <c r="B111" s="18" t="s">
        <v>29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>
        <v>14390.5</v>
      </c>
      <c r="V111" s="18"/>
      <c r="W111" s="18"/>
      <c r="X111" s="18"/>
      <c r="Y111" s="18"/>
      <c r="Z111" s="18">
        <v>14827.660000000009</v>
      </c>
      <c r="AA111" s="18"/>
      <c r="AB111" s="18">
        <v>6498.6049999999968</v>
      </c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9">
        <f t="shared" si="4"/>
        <v>35716.765000000007</v>
      </c>
    </row>
    <row r="112" spans="1:48" x14ac:dyDescent="0.35">
      <c r="A112" s="27"/>
      <c r="B112" s="18" t="s">
        <v>20</v>
      </c>
      <c r="C112" s="18"/>
      <c r="D112" s="18"/>
      <c r="E112" s="18">
        <v>4943.925000000002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>
        <v>1821.2249999999997</v>
      </c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>
        <v>4477.8</v>
      </c>
      <c r="AS112" s="18"/>
      <c r="AT112" s="18"/>
      <c r="AU112" s="18"/>
      <c r="AV112" s="19">
        <f t="shared" si="4"/>
        <v>11242.95</v>
      </c>
    </row>
    <row r="113" spans="1:48" x14ac:dyDescent="0.35">
      <c r="A113" s="27"/>
      <c r="B113" s="18" t="s">
        <v>21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9">
        <f t="shared" si="4"/>
        <v>0</v>
      </c>
    </row>
    <row r="114" spans="1:48" x14ac:dyDescent="0.35">
      <c r="A114" s="27"/>
      <c r="B114" s="18" t="s">
        <v>97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>
        <v>3745</v>
      </c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9">
        <f t="shared" si="4"/>
        <v>3745</v>
      </c>
    </row>
    <row r="115" spans="1:48" x14ac:dyDescent="0.35">
      <c r="A115" s="27"/>
      <c r="B115" s="18" t="s">
        <v>11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>
        <v>5596</v>
      </c>
      <c r="X115" s="18"/>
      <c r="Y115" s="18"/>
      <c r="Z115" s="18">
        <v>56156.870000000054</v>
      </c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>
        <v>104265.49500000001</v>
      </c>
      <c r="AQ115" s="18"/>
      <c r="AR115" s="18">
        <v>20002.150000000001</v>
      </c>
      <c r="AS115" s="18"/>
      <c r="AT115" s="18">
        <v>13292.759999999997</v>
      </c>
      <c r="AU115" s="18">
        <v>12417.845000000001</v>
      </c>
      <c r="AV115" s="19">
        <f t="shared" si="4"/>
        <v>211731.12000000005</v>
      </c>
    </row>
    <row r="116" spans="1:48" x14ac:dyDescent="0.35">
      <c r="A116" s="27"/>
      <c r="B116" s="18" t="s">
        <v>98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>
        <v>4827.4380000000001</v>
      </c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9">
        <f t="shared" si="4"/>
        <v>4827.4380000000001</v>
      </c>
    </row>
    <row r="117" spans="1:48" x14ac:dyDescent="0.35">
      <c r="A117" s="27"/>
      <c r="B117" s="18" t="s">
        <v>99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>
        <v>2918.125</v>
      </c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9">
        <f t="shared" si="4"/>
        <v>2918.125</v>
      </c>
    </row>
    <row r="118" spans="1:48" x14ac:dyDescent="0.35">
      <c r="A118" s="27"/>
      <c r="B118" s="18" t="s">
        <v>12</v>
      </c>
      <c r="C118" s="18"/>
      <c r="D118" s="18"/>
      <c r="E118" s="18"/>
      <c r="F118" s="18"/>
      <c r="G118" s="18"/>
      <c r="H118" s="18"/>
      <c r="I118" s="18">
        <v>5530.7999999999993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>
        <v>6068.1</v>
      </c>
      <c r="W118" s="18"/>
      <c r="X118" s="18"/>
      <c r="Y118" s="18"/>
      <c r="Z118" s="18">
        <v>33960</v>
      </c>
      <c r="AA118" s="18"/>
      <c r="AB118" s="18"/>
      <c r="AC118" s="18"/>
      <c r="AD118" s="18"/>
      <c r="AE118" s="18"/>
      <c r="AF118" s="18"/>
      <c r="AG118" s="18"/>
      <c r="AH118" s="18">
        <v>9455.625</v>
      </c>
      <c r="AI118" s="18">
        <v>4324.6499999999987</v>
      </c>
      <c r="AJ118" s="18">
        <v>4050</v>
      </c>
      <c r="AK118" s="18"/>
      <c r="AL118" s="18"/>
      <c r="AM118" s="18"/>
      <c r="AN118" s="18"/>
      <c r="AO118" s="18">
        <v>20742.300000000007</v>
      </c>
      <c r="AP118" s="18"/>
      <c r="AQ118" s="18"/>
      <c r="AR118" s="18"/>
      <c r="AS118" s="18"/>
      <c r="AT118" s="18"/>
      <c r="AU118" s="18"/>
      <c r="AV118" s="19">
        <f t="shared" si="4"/>
        <v>84131.475000000006</v>
      </c>
    </row>
    <row r="119" spans="1:48" x14ac:dyDescent="0.35">
      <c r="A119" s="27"/>
      <c r="B119" s="18" t="s">
        <v>13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9">
        <f t="shared" si="4"/>
        <v>0</v>
      </c>
    </row>
    <row r="120" spans="1:48" x14ac:dyDescent="0.35">
      <c r="A120" s="27"/>
      <c r="B120" s="18" t="s">
        <v>14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>
        <v>6897.3800000000019</v>
      </c>
      <c r="R120" s="18"/>
      <c r="S120" s="18"/>
      <c r="T120" s="18"/>
      <c r="U120" s="18"/>
      <c r="V120" s="18"/>
      <c r="W120" s="18"/>
      <c r="X120" s="18"/>
      <c r="Y120" s="18"/>
      <c r="Z120" s="18">
        <v>10410.89500000001</v>
      </c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>
        <v>15351.264999999992</v>
      </c>
      <c r="AS120" s="18"/>
      <c r="AT120" s="18"/>
      <c r="AU120" s="18"/>
      <c r="AV120" s="19">
        <f t="shared" si="4"/>
        <v>32659.540000000005</v>
      </c>
    </row>
    <row r="121" spans="1:48" x14ac:dyDescent="0.35">
      <c r="A121" s="27"/>
      <c r="B121" s="18" t="s">
        <v>25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9">
        <f t="shared" si="4"/>
        <v>0</v>
      </c>
    </row>
    <row r="122" spans="1:48" x14ac:dyDescent="0.35">
      <c r="A122" s="27"/>
      <c r="B122" s="18" t="s">
        <v>89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>
        <v>2805.75</v>
      </c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9">
        <f t="shared" si="4"/>
        <v>2805.75</v>
      </c>
    </row>
    <row r="123" spans="1:48" x14ac:dyDescent="0.35">
      <c r="A123" s="27"/>
      <c r="B123" s="18" t="s">
        <v>100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>
        <v>1235</v>
      </c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9">
        <f t="shared" si="4"/>
        <v>1235</v>
      </c>
    </row>
    <row r="124" spans="1:48" x14ac:dyDescent="0.35">
      <c r="A124" s="27"/>
      <c r="B124" s="18" t="s">
        <v>90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>
        <v>2629.26</v>
      </c>
      <c r="AS124" s="18"/>
      <c r="AT124" s="18"/>
      <c r="AU124" s="18"/>
      <c r="AV124" s="19">
        <f t="shared" si="4"/>
        <v>2629.26</v>
      </c>
    </row>
    <row r="125" spans="1:48" x14ac:dyDescent="0.35">
      <c r="A125" s="27"/>
      <c r="B125" s="18" t="s">
        <v>26</v>
      </c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>
        <v>5919.0599999999995</v>
      </c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>
        <v>11328.724999999995</v>
      </c>
      <c r="AS125" s="18"/>
      <c r="AT125" s="18"/>
      <c r="AU125" s="18"/>
      <c r="AV125" s="19">
        <f t="shared" si="4"/>
        <v>17247.784999999996</v>
      </c>
    </row>
    <row r="126" spans="1:48" x14ac:dyDescent="0.35">
      <c r="A126" s="27"/>
      <c r="B126" s="18" t="s">
        <v>91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>
        <v>6304.5</v>
      </c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9">
        <f t="shared" si="4"/>
        <v>6304.5</v>
      </c>
    </row>
    <row r="127" spans="1:48" x14ac:dyDescent="0.35">
      <c r="A127" s="27"/>
      <c r="B127" s="18" t="s">
        <v>101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>
        <v>3501.0000000000009</v>
      </c>
      <c r="AT127" s="18"/>
      <c r="AU127" s="18"/>
      <c r="AV127" s="19">
        <f t="shared" si="4"/>
        <v>3501.0000000000009</v>
      </c>
    </row>
    <row r="128" spans="1:48" x14ac:dyDescent="0.35">
      <c r="A128" s="27"/>
      <c r="B128" s="18" t="s">
        <v>92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9">
        <f t="shared" si="4"/>
        <v>0</v>
      </c>
    </row>
    <row r="129" spans="1:48" x14ac:dyDescent="0.35">
      <c r="A129" s="27"/>
      <c r="B129" s="18" t="s">
        <v>27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>
        <v>2211.585</v>
      </c>
      <c r="N129" s="18"/>
      <c r="O129" s="18"/>
      <c r="P129" s="18"/>
      <c r="Q129" s="18"/>
      <c r="R129" s="18"/>
      <c r="S129" s="18"/>
      <c r="T129" s="18">
        <v>2678.2799999999997</v>
      </c>
      <c r="U129" s="18"/>
      <c r="V129" s="18"/>
      <c r="W129" s="18"/>
      <c r="X129" s="18">
        <v>9157.5</v>
      </c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9">
        <f t="shared" si="4"/>
        <v>14047.365</v>
      </c>
    </row>
    <row r="130" spans="1:48" x14ac:dyDescent="0.35">
      <c r="A130" s="27"/>
      <c r="B130" s="18" t="s">
        <v>16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9">
        <f t="shared" si="4"/>
        <v>0</v>
      </c>
    </row>
    <row r="131" spans="1:48" x14ac:dyDescent="0.35">
      <c r="A131" s="27"/>
      <c r="B131" s="18" t="s">
        <v>96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>
        <v>431.25</v>
      </c>
      <c r="AP131" s="18"/>
      <c r="AQ131" s="18"/>
      <c r="AR131" s="18"/>
      <c r="AS131" s="18"/>
      <c r="AT131" s="18"/>
      <c r="AU131" s="18"/>
      <c r="AV131" s="19">
        <f t="shared" si="4"/>
        <v>431.25</v>
      </c>
    </row>
    <row r="132" spans="1:48" x14ac:dyDescent="0.35">
      <c r="A132" s="27"/>
      <c r="B132" s="18" t="s">
        <v>22</v>
      </c>
      <c r="C132" s="18"/>
      <c r="D132" s="18"/>
      <c r="E132" s="18"/>
      <c r="F132" s="18"/>
      <c r="G132" s="18">
        <v>2232.84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>
        <v>3856.6000000000004</v>
      </c>
      <c r="AJ132" s="18"/>
      <c r="AK132" s="18"/>
      <c r="AL132" s="18"/>
      <c r="AM132" s="18"/>
      <c r="AN132" s="18"/>
      <c r="AO132" s="18">
        <v>2180.5500000000002</v>
      </c>
      <c r="AP132" s="18"/>
      <c r="AQ132" s="18"/>
      <c r="AR132" s="18"/>
      <c r="AS132" s="18"/>
      <c r="AT132" s="18"/>
      <c r="AU132" s="18"/>
      <c r="AV132" s="19">
        <f t="shared" si="4"/>
        <v>8269.9900000000016</v>
      </c>
    </row>
    <row r="133" spans="1:48" x14ac:dyDescent="0.35">
      <c r="A133" s="27"/>
      <c r="B133" s="18" t="s">
        <v>17</v>
      </c>
      <c r="C133" s="18"/>
      <c r="D133" s="18"/>
      <c r="E133" s="18"/>
      <c r="F133" s="18"/>
      <c r="G133" s="18"/>
      <c r="H133" s="18"/>
      <c r="I133" s="18">
        <v>1125</v>
      </c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>
        <v>4466.9999999999991</v>
      </c>
      <c r="AL133" s="18">
        <v>4842.75</v>
      </c>
      <c r="AM133" s="18"/>
      <c r="AN133" s="18"/>
      <c r="AO133" s="18">
        <v>5062.875</v>
      </c>
      <c r="AP133" s="18"/>
      <c r="AQ133" s="18"/>
      <c r="AR133" s="18"/>
      <c r="AS133" s="18"/>
      <c r="AT133" s="18"/>
      <c r="AU133" s="18"/>
      <c r="AV133" s="19">
        <f t="shared" si="4"/>
        <v>15497.625</v>
      </c>
    </row>
    <row r="134" spans="1:48" x14ac:dyDescent="0.35">
      <c r="A134" s="27"/>
      <c r="B134" s="18" t="s">
        <v>93</v>
      </c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>
        <v>3458.9700000000007</v>
      </c>
      <c r="AS134" s="18"/>
      <c r="AT134" s="18"/>
      <c r="AU134" s="18"/>
      <c r="AV134" s="19">
        <f t="shared" si="4"/>
        <v>3458.9700000000007</v>
      </c>
    </row>
    <row r="135" spans="1:48" x14ac:dyDescent="0.35">
      <c r="A135" s="27"/>
      <c r="B135" s="21" t="s">
        <v>18</v>
      </c>
      <c r="C135" s="21">
        <f>SUBTOTAL(109,Table20[3D Recruitment])</f>
        <v>0</v>
      </c>
      <c r="D135" s="21">
        <f>SUBTOTAL(109,Table20[App Locum])</f>
        <v>7627</v>
      </c>
      <c r="E135" s="21">
        <f>SUBTOTAL(109,Table20[Athona])</f>
        <v>4943.925000000002</v>
      </c>
      <c r="F135" s="21">
        <f>SUBTOTAL(109,Table20[Beacon])</f>
        <v>0</v>
      </c>
      <c r="G135" s="21">
        <f>SUBTOTAL(109,Table20[Biggs Healthcare])</f>
        <v>2232.84</v>
      </c>
      <c r="H135" s="21">
        <f>SUBTOTAL(109,Table20[Care Solutions])</f>
        <v>0</v>
      </c>
      <c r="I135" s="21">
        <f>SUBTOTAL(109,Table20[CES Locums])</f>
        <v>6655.7999999999993</v>
      </c>
      <c r="J135" s="21">
        <f>SUBTOTAL(109,Table20[Chase Medical])</f>
        <v>0</v>
      </c>
      <c r="K135" s="21">
        <f>SUBTOTAL(109,Table20[Day Webster])</f>
        <v>0</v>
      </c>
      <c r="L135" s="21">
        <f>SUBTOTAL(109,Table20[DRC Locums])</f>
        <v>0</v>
      </c>
      <c r="M135" s="21">
        <f>SUBTOTAL(109,Table20[Enviva Care])</f>
        <v>2211.585</v>
      </c>
      <c r="N135" s="21">
        <f>SUBTOTAL(109,Table20[HCL])</f>
        <v>0</v>
      </c>
      <c r="O135" s="21">
        <f>SUBTOTAL(109,Table20[Hourglass])</f>
        <v>0</v>
      </c>
      <c r="P135" s="21">
        <f>SUBTOTAL(109,Table20[Hunter Mental Health])</f>
        <v>0</v>
      </c>
      <c r="Q135" s="21">
        <f>SUBTOTAL(109,Table20[ID Medical])</f>
        <v>6897.3800000000019</v>
      </c>
      <c r="R135" s="21">
        <f>SUBTOTAL(109,Table20[IMC LOCUMS])</f>
        <v>2918.125</v>
      </c>
      <c r="S135" s="21">
        <f>SUBTOTAL(109,Table20[Locummeds])</f>
        <v>0</v>
      </c>
      <c r="T135" s="21">
        <f>SUBTOTAL(109,Table20[Maxxima Ltd t/a Labmed Recruitment])</f>
        <v>2678.2799999999997</v>
      </c>
      <c r="U135" s="21">
        <f>SUBTOTAL(109,Table20[Medicare Health Professional])</f>
        <v>14390.5</v>
      </c>
      <c r="V135" s="21">
        <f>SUBTOTAL(109,Table20[Medicure Professional LTD])</f>
        <v>6068.1</v>
      </c>
      <c r="W135" s="21">
        <f>SUBTOTAL(109,Table20[Medilink])</f>
        <v>5596</v>
      </c>
      <c r="X135" s="21">
        <f>SUBTOTAL(109,Table20[Medsol Healthcare Services Ltd])</f>
        <v>9157.5</v>
      </c>
      <c r="Y135" s="21">
        <f>SUBTOTAL(109,Table20[MHP])</f>
        <v>0</v>
      </c>
      <c r="Z135" s="21">
        <f>SUBTOTAL(109,Table20[MSI Recruitment])</f>
        <v>135346.71000000008</v>
      </c>
      <c r="AA135" s="21">
        <f>SUBTOTAL(109,Table20[MSU])</f>
        <v>0</v>
      </c>
      <c r="AB135" s="21">
        <f>SUBTOTAL(109,Table20[NURSING 2000])</f>
        <v>9304.3549999999959</v>
      </c>
      <c r="AC135" s="21">
        <f>SUBTOTAL(109,Table20[P E Global Healthcare])</f>
        <v>0</v>
      </c>
      <c r="AD135" s="21">
        <f>SUBTOTAL(109,Table20[PerTemps])</f>
        <v>0</v>
      </c>
      <c r="AE135" s="21">
        <f>SUBTOTAL(109,Table20[PSL RECRUITMENT])</f>
        <v>0</v>
      </c>
      <c r="AF135" s="21">
        <f>SUBTOTAL(109,Table20[Pulse])</f>
        <v>10049.5</v>
      </c>
      <c r="AG135" s="21">
        <f>SUBTOTAL(109,Table20[Redspot Care Ltd])</f>
        <v>0</v>
      </c>
      <c r="AH135" s="21">
        <f>SUBTOTAL(109,Table20[Sanctuary])</f>
        <v>14283.063</v>
      </c>
      <c r="AI135" s="21">
        <f>SUBTOTAL(109,Table20[Sensible Staffing])</f>
        <v>8181.2499999999991</v>
      </c>
      <c r="AJ135" s="21">
        <f>SUBTOTAL(109,Table20[Service Care Solutions])</f>
        <v>4050</v>
      </c>
      <c r="AK135" s="21">
        <f>SUBTOTAL(109,Table20[Seven Resoucing])</f>
        <v>4466.9999999999991</v>
      </c>
      <c r="AL135" s="21">
        <f>SUBTOTAL(109,Table20[Seven Social Care])</f>
        <v>4842.75</v>
      </c>
      <c r="AM135" s="21">
        <f>SUBTOTAL(109,Table20[TBC])</f>
        <v>0</v>
      </c>
      <c r="AN135" s="21">
        <f>SUBTOTAL(109,Table20[The London Teaching Pool])</f>
        <v>0</v>
      </c>
      <c r="AO135" s="21">
        <f>SUBTOTAL(109,Table20[Tripod])</f>
        <v>28416.975000000006</v>
      </c>
      <c r="AP135" s="21">
        <f>SUBTOTAL(109,Table20[Unity Healthcare])</f>
        <v>104265.49500000001</v>
      </c>
      <c r="AQ135" s="21">
        <f>SUBTOTAL(109,Table20[West Meria])</f>
        <v>0</v>
      </c>
      <c r="AR135" s="21">
        <f>SUBTOTAL(109,Table20[Your World])</f>
        <v>75051.954999999987</v>
      </c>
      <c r="AS135" s="21">
        <f>SUBTOTAL(109,Table20[Your World Healthcare])</f>
        <v>3501.0000000000009</v>
      </c>
      <c r="AT135" s="21">
        <f>SUBTOTAL(109,Table20[Your World Nursing])</f>
        <v>13292.759999999997</v>
      </c>
      <c r="AU135" s="21">
        <f>SUBTOTAL(109,Table20[Your World Recruitment Ltd])</f>
        <v>12417.845000000001</v>
      </c>
      <c r="AV135" s="21">
        <f>SUBTOTAL(109,Table20[Grand Total])</f>
        <v>498847.69299999997</v>
      </c>
    </row>
    <row r="137" spans="1:48" x14ac:dyDescent="0.35">
      <c r="A137" s="27" t="s">
        <v>31</v>
      </c>
      <c r="B137" s="17" t="s">
        <v>39</v>
      </c>
      <c r="C137" s="17" t="s">
        <v>40</v>
      </c>
      <c r="D137" s="17" t="s">
        <v>41</v>
      </c>
      <c r="E137" s="17" t="s">
        <v>42</v>
      </c>
      <c r="F137" s="17" t="s">
        <v>43</v>
      </c>
      <c r="G137" s="17" t="s">
        <v>44</v>
      </c>
      <c r="H137" s="17" t="s">
        <v>45</v>
      </c>
      <c r="I137" s="17" t="s">
        <v>46</v>
      </c>
      <c r="J137" s="17" t="s">
        <v>47</v>
      </c>
      <c r="K137" s="17" t="s">
        <v>48</v>
      </c>
      <c r="L137" s="17" t="s">
        <v>49</v>
      </c>
      <c r="M137" s="17" t="s">
        <v>50</v>
      </c>
      <c r="N137" s="17" t="s">
        <v>51</v>
      </c>
      <c r="O137" s="17" t="s">
        <v>52</v>
      </c>
      <c r="P137" s="17" t="s">
        <v>53</v>
      </c>
      <c r="Q137" s="17" t="s">
        <v>54</v>
      </c>
      <c r="R137" s="17" t="s">
        <v>55</v>
      </c>
      <c r="S137" s="17" t="s">
        <v>56</v>
      </c>
      <c r="T137" s="17" t="s">
        <v>57</v>
      </c>
      <c r="U137" s="17" t="s">
        <v>58</v>
      </c>
      <c r="V137" s="17" t="s">
        <v>59</v>
      </c>
      <c r="W137" s="17" t="s">
        <v>60</v>
      </c>
      <c r="X137" s="17" t="s">
        <v>61</v>
      </c>
      <c r="Y137" s="17" t="s">
        <v>62</v>
      </c>
      <c r="Z137" s="17" t="s">
        <v>63</v>
      </c>
      <c r="AA137" s="17" t="s">
        <v>64</v>
      </c>
      <c r="AB137" s="17" t="s">
        <v>65</v>
      </c>
      <c r="AC137" s="17" t="s">
        <v>66</v>
      </c>
      <c r="AD137" s="17" t="s">
        <v>67</v>
      </c>
      <c r="AE137" s="17" t="s">
        <v>68</v>
      </c>
      <c r="AF137" s="17" t="s">
        <v>69</v>
      </c>
      <c r="AG137" s="17" t="s">
        <v>70</v>
      </c>
      <c r="AH137" s="17" t="s">
        <v>71</v>
      </c>
      <c r="AI137" s="17" t="s">
        <v>72</v>
      </c>
      <c r="AJ137" s="17" t="s">
        <v>73</v>
      </c>
      <c r="AK137" s="17" t="s">
        <v>74</v>
      </c>
      <c r="AL137" s="17" t="s">
        <v>75</v>
      </c>
      <c r="AM137" s="17" t="s">
        <v>76</v>
      </c>
      <c r="AN137" s="17" t="s">
        <v>77</v>
      </c>
      <c r="AO137" s="17" t="s">
        <v>78</v>
      </c>
      <c r="AP137" s="17" t="s">
        <v>79</v>
      </c>
      <c r="AQ137" s="17" t="s">
        <v>80</v>
      </c>
      <c r="AR137" s="17" t="s">
        <v>81</v>
      </c>
      <c r="AS137" s="17" t="s">
        <v>82</v>
      </c>
      <c r="AT137" s="17" t="s">
        <v>83</v>
      </c>
      <c r="AU137" s="17" t="s">
        <v>84</v>
      </c>
      <c r="AV137" s="16" t="s">
        <v>8</v>
      </c>
    </row>
    <row r="138" spans="1:48" x14ac:dyDescent="0.35">
      <c r="A138" s="27"/>
      <c r="B138" s="18" t="s">
        <v>86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>
        <v>2391.8999999999996</v>
      </c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>
        <v>6612.0299999999988</v>
      </c>
      <c r="AS138" s="18"/>
      <c r="AT138" s="18"/>
      <c r="AU138" s="18"/>
      <c r="AV138" s="19">
        <f t="shared" ref="AV138:AV161" si="5">SUM(A138:AU138)</f>
        <v>9003.9299999999985</v>
      </c>
    </row>
    <row r="139" spans="1:48" x14ac:dyDescent="0.35">
      <c r="A139" s="27"/>
      <c r="B139" s="18" t="s">
        <v>32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>
        <v>7695</v>
      </c>
      <c r="V139" s="18"/>
      <c r="W139" s="18"/>
      <c r="X139" s="18"/>
      <c r="Y139" s="18"/>
      <c r="Z139" s="18">
        <v>947.25</v>
      </c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9">
        <f t="shared" si="5"/>
        <v>8642.25</v>
      </c>
    </row>
    <row r="140" spans="1:48" x14ac:dyDescent="0.35">
      <c r="A140" s="27"/>
      <c r="B140" s="18" t="s">
        <v>29</v>
      </c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>
        <v>5985</v>
      </c>
      <c r="V140" s="18"/>
      <c r="W140" s="18"/>
      <c r="X140" s="18"/>
      <c r="Y140" s="18"/>
      <c r="Z140" s="18">
        <v>9554.2750000000015</v>
      </c>
      <c r="AA140" s="18"/>
      <c r="AB140" s="18">
        <v>3233</v>
      </c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9">
        <f t="shared" si="5"/>
        <v>18772.275000000001</v>
      </c>
    </row>
    <row r="141" spans="1:48" x14ac:dyDescent="0.35">
      <c r="A141" s="27"/>
      <c r="B141" s="18" t="s">
        <v>20</v>
      </c>
      <c r="C141" s="18"/>
      <c r="D141" s="18"/>
      <c r="E141" s="18">
        <v>4708.5000000000018</v>
      </c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>
        <v>1561.0499999999997</v>
      </c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>
        <v>4477.8</v>
      </c>
      <c r="AS141" s="18"/>
      <c r="AT141" s="18"/>
      <c r="AU141" s="18"/>
      <c r="AV141" s="19">
        <f t="shared" si="5"/>
        <v>10747.350000000002</v>
      </c>
    </row>
    <row r="142" spans="1:48" x14ac:dyDescent="0.35">
      <c r="A142" s="27"/>
      <c r="B142" s="18" t="s">
        <v>21</v>
      </c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9">
        <f t="shared" si="5"/>
        <v>0</v>
      </c>
    </row>
    <row r="143" spans="1:48" x14ac:dyDescent="0.35">
      <c r="A143" s="27"/>
      <c r="B143" s="18" t="s">
        <v>11</v>
      </c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>
        <v>9761</v>
      </c>
      <c r="X143" s="18"/>
      <c r="Y143" s="18"/>
      <c r="Z143" s="18">
        <v>66168.415000000023</v>
      </c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>
        <v>113715.985</v>
      </c>
      <c r="AQ143" s="18"/>
      <c r="AR143" s="18">
        <v>20103.076000000008</v>
      </c>
      <c r="AS143" s="18"/>
      <c r="AT143" s="18">
        <v>28289.964999999989</v>
      </c>
      <c r="AU143" s="18">
        <v>11965.275</v>
      </c>
      <c r="AV143" s="19">
        <f t="shared" si="5"/>
        <v>250003.71600000001</v>
      </c>
    </row>
    <row r="144" spans="1:48" x14ac:dyDescent="0.35">
      <c r="A144" s="27"/>
      <c r="B144" s="18" t="s">
        <v>98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9">
        <f t="shared" si="5"/>
        <v>0</v>
      </c>
    </row>
    <row r="145" spans="1:48" x14ac:dyDescent="0.35">
      <c r="A145" s="27"/>
      <c r="B145" s="18" t="s">
        <v>99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>
        <v>5796</v>
      </c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9">
        <f t="shared" si="5"/>
        <v>5796</v>
      </c>
    </row>
    <row r="146" spans="1:48" x14ac:dyDescent="0.35">
      <c r="A146" s="27"/>
      <c r="B146" s="18" t="s">
        <v>12</v>
      </c>
      <c r="C146" s="18"/>
      <c r="D146" s="18"/>
      <c r="E146" s="18"/>
      <c r="F146" s="18"/>
      <c r="G146" s="18"/>
      <c r="H146" s="18"/>
      <c r="I146" s="18">
        <v>5279.4</v>
      </c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>
        <v>1125</v>
      </c>
      <c r="W146" s="18"/>
      <c r="X146" s="18"/>
      <c r="Y146" s="18"/>
      <c r="Z146" s="18">
        <v>27405</v>
      </c>
      <c r="AA146" s="18"/>
      <c r="AB146" s="18"/>
      <c r="AC146" s="18"/>
      <c r="AD146" s="18"/>
      <c r="AE146" s="18"/>
      <c r="AF146" s="18"/>
      <c r="AG146" s="18"/>
      <c r="AH146" s="18">
        <v>10699.5</v>
      </c>
      <c r="AI146" s="18">
        <v>4128.0749999999989</v>
      </c>
      <c r="AJ146" s="18">
        <v>1012.5</v>
      </c>
      <c r="AK146" s="18"/>
      <c r="AL146" s="18"/>
      <c r="AM146" s="18"/>
      <c r="AN146" s="18"/>
      <c r="AO146" s="18">
        <v>5358.3750000000009</v>
      </c>
      <c r="AP146" s="18"/>
      <c r="AQ146" s="18"/>
      <c r="AR146" s="18"/>
      <c r="AS146" s="18"/>
      <c r="AT146" s="18"/>
      <c r="AU146" s="18"/>
      <c r="AV146" s="19">
        <f t="shared" si="5"/>
        <v>55007.85</v>
      </c>
    </row>
    <row r="147" spans="1:48" x14ac:dyDescent="0.35">
      <c r="A147" s="27"/>
      <c r="B147" s="18" t="s">
        <v>13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9">
        <f t="shared" si="5"/>
        <v>0</v>
      </c>
    </row>
    <row r="148" spans="1:48" x14ac:dyDescent="0.35">
      <c r="A148" s="27"/>
      <c r="B148" s="18" t="s">
        <v>14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>
        <v>9723.7500000000055</v>
      </c>
      <c r="R148" s="18"/>
      <c r="S148" s="18"/>
      <c r="T148" s="18"/>
      <c r="U148" s="18"/>
      <c r="V148" s="18"/>
      <c r="W148" s="18"/>
      <c r="X148" s="18"/>
      <c r="Y148" s="18"/>
      <c r="Z148" s="18">
        <v>16698.920000000016</v>
      </c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>
        <v>12432.609999999999</v>
      </c>
      <c r="AS148" s="18"/>
      <c r="AT148" s="18"/>
      <c r="AU148" s="18"/>
      <c r="AV148" s="19">
        <f t="shared" si="5"/>
        <v>38855.280000000021</v>
      </c>
    </row>
    <row r="149" spans="1:48" x14ac:dyDescent="0.35">
      <c r="A149" s="27"/>
      <c r="B149" s="18" t="s">
        <v>25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9">
        <f t="shared" si="5"/>
        <v>0</v>
      </c>
    </row>
    <row r="150" spans="1:48" x14ac:dyDescent="0.35">
      <c r="A150" s="27"/>
      <c r="B150" s="18" t="s">
        <v>89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>
        <v>0</v>
      </c>
      <c r="AA150" s="18"/>
      <c r="AB150" s="18">
        <v>2520</v>
      </c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9">
        <f t="shared" si="5"/>
        <v>2520</v>
      </c>
    </row>
    <row r="151" spans="1:48" x14ac:dyDescent="0.35">
      <c r="A151" s="27"/>
      <c r="B151" s="18" t="s">
        <v>100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>
        <v>299</v>
      </c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9">
        <f t="shared" si="5"/>
        <v>299</v>
      </c>
    </row>
    <row r="152" spans="1:48" x14ac:dyDescent="0.35">
      <c r="A152" s="27"/>
      <c r="B152" s="18" t="s">
        <v>90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>
        <v>2499.42</v>
      </c>
      <c r="AS152" s="18"/>
      <c r="AT152" s="18"/>
      <c r="AU152" s="18"/>
      <c r="AV152" s="19">
        <f t="shared" si="5"/>
        <v>2499.42</v>
      </c>
    </row>
    <row r="153" spans="1:48" x14ac:dyDescent="0.35">
      <c r="A153" s="27"/>
      <c r="B153" s="18" t="s">
        <v>26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>
        <v>3225.34</v>
      </c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>
        <v>11129.184999999998</v>
      </c>
      <c r="AS153" s="18"/>
      <c r="AT153" s="18"/>
      <c r="AU153" s="18"/>
      <c r="AV153" s="19">
        <f t="shared" si="5"/>
        <v>14354.524999999998</v>
      </c>
    </row>
    <row r="154" spans="1:48" x14ac:dyDescent="0.35">
      <c r="A154" s="27"/>
      <c r="B154" s="18" t="s">
        <v>91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>
        <v>7005</v>
      </c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9">
        <f t="shared" si="5"/>
        <v>7005</v>
      </c>
    </row>
    <row r="155" spans="1:48" x14ac:dyDescent="0.35">
      <c r="A155" s="27"/>
      <c r="B155" s="18" t="s">
        <v>101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>
        <v>4683.5600000000004</v>
      </c>
      <c r="AT155" s="18"/>
      <c r="AU155" s="18"/>
      <c r="AV155" s="19">
        <f t="shared" si="5"/>
        <v>4683.5600000000004</v>
      </c>
    </row>
    <row r="156" spans="1:48" x14ac:dyDescent="0.35">
      <c r="A156" s="27"/>
      <c r="B156" s="18" t="s">
        <v>92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9">
        <f t="shared" si="5"/>
        <v>0</v>
      </c>
    </row>
    <row r="157" spans="1:48" x14ac:dyDescent="0.35">
      <c r="A157" s="27"/>
      <c r="B157" s="18" t="s">
        <v>27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>
        <v>2023.365</v>
      </c>
      <c r="N157" s="18"/>
      <c r="O157" s="18"/>
      <c r="P157" s="18"/>
      <c r="Q157" s="18"/>
      <c r="R157" s="18"/>
      <c r="S157" s="18"/>
      <c r="T157" s="18">
        <v>1765.2299999999998</v>
      </c>
      <c r="U157" s="18"/>
      <c r="V157" s="18"/>
      <c r="W157" s="18"/>
      <c r="X157" s="18">
        <v>2238.5</v>
      </c>
      <c r="Y157" s="18"/>
      <c r="Z157" s="18">
        <v>6317.5</v>
      </c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9">
        <f t="shared" si="5"/>
        <v>12344.594999999999</v>
      </c>
    </row>
    <row r="158" spans="1:48" x14ac:dyDescent="0.35">
      <c r="A158" s="27"/>
      <c r="B158" s="18" t="s">
        <v>16</v>
      </c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9">
        <f t="shared" si="5"/>
        <v>0</v>
      </c>
    </row>
    <row r="159" spans="1:48" x14ac:dyDescent="0.35">
      <c r="A159" s="27"/>
      <c r="B159" s="18" t="s">
        <v>22</v>
      </c>
      <c r="C159" s="18"/>
      <c r="D159" s="18"/>
      <c r="E159" s="18"/>
      <c r="F159" s="18"/>
      <c r="G159" s="18">
        <v>287.5</v>
      </c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>
        <v>1452</v>
      </c>
      <c r="AJ159" s="18"/>
      <c r="AK159" s="18">
        <v>1800</v>
      </c>
      <c r="AL159" s="18"/>
      <c r="AM159" s="18"/>
      <c r="AN159" s="18"/>
      <c r="AO159" s="18">
        <v>4639.0999999999985</v>
      </c>
      <c r="AP159" s="18"/>
      <c r="AQ159" s="18"/>
      <c r="AR159" s="18"/>
      <c r="AS159" s="18"/>
      <c r="AT159" s="18"/>
      <c r="AU159" s="18"/>
      <c r="AV159" s="19">
        <f t="shared" si="5"/>
        <v>8178.5999999999985</v>
      </c>
    </row>
    <row r="160" spans="1:48" x14ac:dyDescent="0.35">
      <c r="A160" s="27"/>
      <c r="B160" s="18" t="s">
        <v>17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>
        <v>1116.75</v>
      </c>
      <c r="AL160" s="18">
        <v>1540.875</v>
      </c>
      <c r="AM160" s="18"/>
      <c r="AN160" s="18"/>
      <c r="AO160" s="18">
        <v>4842.75</v>
      </c>
      <c r="AP160" s="18"/>
      <c r="AQ160" s="18"/>
      <c r="AR160" s="18"/>
      <c r="AS160" s="18"/>
      <c r="AT160" s="18"/>
      <c r="AU160" s="18"/>
      <c r="AV160" s="19">
        <f t="shared" si="5"/>
        <v>7500.375</v>
      </c>
    </row>
    <row r="161" spans="1:48" x14ac:dyDescent="0.35">
      <c r="A161" s="27"/>
      <c r="B161" s="18" t="s">
        <v>93</v>
      </c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>
        <v>3258.4500000000007</v>
      </c>
      <c r="AS161" s="18"/>
      <c r="AT161" s="18"/>
      <c r="AU161" s="18"/>
      <c r="AV161" s="19">
        <f t="shared" si="5"/>
        <v>3258.4500000000007</v>
      </c>
    </row>
    <row r="162" spans="1:48" x14ac:dyDescent="0.35">
      <c r="A162" s="27"/>
      <c r="B162" s="21" t="s">
        <v>18</v>
      </c>
      <c r="C162" s="21">
        <f>SUBTOTAL(109,Table21[3D Recruitment])</f>
        <v>0</v>
      </c>
      <c r="D162" s="21">
        <f>SUBTOTAL(109,Table21[App Locum])</f>
        <v>0</v>
      </c>
      <c r="E162" s="21">
        <f>SUBTOTAL(109,Table21[Athona])</f>
        <v>4708.5000000000018</v>
      </c>
      <c r="F162" s="21">
        <f>SUBTOTAL(109,Table21[Beacon])</f>
        <v>0</v>
      </c>
      <c r="G162" s="21">
        <f>SUBTOTAL(109,Table21[Biggs Healthcare])</f>
        <v>287.5</v>
      </c>
      <c r="H162" s="21">
        <f>SUBTOTAL(109,Table21[Care Solutions])</f>
        <v>0</v>
      </c>
      <c r="I162" s="21">
        <f>SUBTOTAL(109,Table21[CES Locums])</f>
        <v>5279.4</v>
      </c>
      <c r="J162" s="21">
        <f>SUBTOTAL(109,Table21[Chase Medical])</f>
        <v>0</v>
      </c>
      <c r="K162" s="21">
        <f>SUBTOTAL(109,Table21[Day Webster])</f>
        <v>0</v>
      </c>
      <c r="L162" s="21">
        <f>SUBTOTAL(109,Table21[DRC Locums])</f>
        <v>0</v>
      </c>
      <c r="M162" s="21">
        <f>SUBTOTAL(109,Table21[Enviva Care])</f>
        <v>2023.365</v>
      </c>
      <c r="N162" s="21">
        <f>SUBTOTAL(109,Table21[HCL])</f>
        <v>0</v>
      </c>
      <c r="O162" s="21">
        <f>SUBTOTAL(109,Table21[Hourglass])</f>
        <v>0</v>
      </c>
      <c r="P162" s="21">
        <f>SUBTOTAL(109,Table21[Hunter Mental Health])</f>
        <v>0</v>
      </c>
      <c r="Q162" s="21">
        <f>SUBTOTAL(109,Table21[ID Medical])</f>
        <v>9723.7500000000055</v>
      </c>
      <c r="R162" s="21">
        <f>SUBTOTAL(109,Table21[IMC LOCUMS])</f>
        <v>5796</v>
      </c>
      <c r="S162" s="21">
        <f>SUBTOTAL(109,Table21[Locummeds])</f>
        <v>0</v>
      </c>
      <c r="T162" s="21">
        <f>SUBTOTAL(109,Table21[Maxxima Ltd t/a Labmed Recruitment])</f>
        <v>1765.2299999999998</v>
      </c>
      <c r="U162" s="21">
        <f>SUBTOTAL(109,Table21[Medicare Health Professional])</f>
        <v>13680</v>
      </c>
      <c r="V162" s="21">
        <f>SUBTOTAL(109,Table21[Medicure Professional LTD])</f>
        <v>1125</v>
      </c>
      <c r="W162" s="21">
        <f>SUBTOTAL(109,Table21[Medilink])</f>
        <v>9761</v>
      </c>
      <c r="X162" s="21">
        <f>SUBTOTAL(109,Table21[Medsol Healthcare Services Ltd])</f>
        <v>2238.5</v>
      </c>
      <c r="Y162" s="21">
        <f>SUBTOTAL(109,Table21[MHP])</f>
        <v>0</v>
      </c>
      <c r="Z162" s="21">
        <f>SUBTOTAL(109,Table21[MSI Recruitment])</f>
        <v>134568.65000000002</v>
      </c>
      <c r="AA162" s="21">
        <f>SUBTOTAL(109,Table21[MSU])</f>
        <v>0</v>
      </c>
      <c r="AB162" s="21">
        <f>SUBTOTAL(109,Table21[NURSING 2000])</f>
        <v>5753</v>
      </c>
      <c r="AC162" s="21">
        <f>SUBTOTAL(109,Table21[P E Global Healthcare])</f>
        <v>0</v>
      </c>
      <c r="AD162" s="21">
        <f>SUBTOTAL(109,Table21[PerTemps])</f>
        <v>0</v>
      </c>
      <c r="AE162" s="21">
        <f>SUBTOTAL(109,Table21[PSL RECRUITMENT])</f>
        <v>0</v>
      </c>
      <c r="AF162" s="21">
        <f>SUBTOTAL(109,Table21[Pulse])</f>
        <v>7005</v>
      </c>
      <c r="AG162" s="21">
        <f>SUBTOTAL(109,Table21[Redspot Care Ltd])</f>
        <v>0</v>
      </c>
      <c r="AH162" s="21">
        <f>SUBTOTAL(109,Table21[Sanctuary])</f>
        <v>10699.5</v>
      </c>
      <c r="AI162" s="21">
        <f>SUBTOTAL(109,Table21[Sensible Staffing])</f>
        <v>5580.0749999999989</v>
      </c>
      <c r="AJ162" s="21">
        <f>SUBTOTAL(109,Table21[Service Care Solutions])</f>
        <v>1012.5</v>
      </c>
      <c r="AK162" s="21">
        <f>SUBTOTAL(109,Table21[Seven Resoucing])</f>
        <v>2916.75</v>
      </c>
      <c r="AL162" s="21">
        <f>SUBTOTAL(109,Table21[Seven Social Care])</f>
        <v>1540.875</v>
      </c>
      <c r="AM162" s="21">
        <f>SUBTOTAL(109,Table21[TBC])</f>
        <v>0</v>
      </c>
      <c r="AN162" s="21">
        <f>SUBTOTAL(109,Table21[The London Teaching Pool])</f>
        <v>0</v>
      </c>
      <c r="AO162" s="21">
        <f>SUBTOTAL(109,Table21[Tripod])</f>
        <v>14840.224999999999</v>
      </c>
      <c r="AP162" s="21">
        <f>SUBTOTAL(109,Table21[Unity Healthcare])</f>
        <v>113715.985</v>
      </c>
      <c r="AQ162" s="21">
        <f>SUBTOTAL(109,Table21[West Meria])</f>
        <v>0</v>
      </c>
      <c r="AR162" s="21">
        <f>SUBTOTAL(109,Table21[Your World])</f>
        <v>60512.570999999996</v>
      </c>
      <c r="AS162" s="21">
        <f>SUBTOTAL(109,Table21[Your World Healthcare])</f>
        <v>4683.5600000000004</v>
      </c>
      <c r="AT162" s="21">
        <f>SUBTOTAL(109,Table21[Your World Nursing])</f>
        <v>28289.964999999989</v>
      </c>
      <c r="AU162" s="21">
        <f>SUBTOTAL(109,Table21[Your World Recruitment Ltd])</f>
        <v>11965.275</v>
      </c>
      <c r="AV162" s="21">
        <f>SUBTOTAL(109,Table21[Grand Total])</f>
        <v>459472.17599999998</v>
      </c>
    </row>
    <row r="164" spans="1:48" x14ac:dyDescent="0.35">
      <c r="A164" s="26" t="s">
        <v>33</v>
      </c>
      <c r="B164" s="17" t="s">
        <v>39</v>
      </c>
      <c r="C164" s="17" t="s">
        <v>40</v>
      </c>
      <c r="D164" s="17" t="s">
        <v>41</v>
      </c>
      <c r="E164" s="17" t="s">
        <v>42</v>
      </c>
      <c r="F164" s="17" t="s">
        <v>43</v>
      </c>
      <c r="G164" s="17" t="s">
        <v>44</v>
      </c>
      <c r="H164" s="17" t="s">
        <v>45</v>
      </c>
      <c r="I164" s="17" t="s">
        <v>46</v>
      </c>
      <c r="J164" s="17" t="s">
        <v>47</v>
      </c>
      <c r="K164" s="17" t="s">
        <v>48</v>
      </c>
      <c r="L164" s="17" t="s">
        <v>49</v>
      </c>
      <c r="M164" s="17" t="s">
        <v>50</v>
      </c>
      <c r="N164" s="17" t="s">
        <v>51</v>
      </c>
      <c r="O164" s="17" t="s">
        <v>52</v>
      </c>
      <c r="P164" s="17" t="s">
        <v>53</v>
      </c>
      <c r="Q164" s="17" t="s">
        <v>54</v>
      </c>
      <c r="R164" s="17" t="s">
        <v>55</v>
      </c>
      <c r="S164" s="17" t="s">
        <v>56</v>
      </c>
      <c r="T164" s="17" t="s">
        <v>57</v>
      </c>
      <c r="U164" s="17" t="s">
        <v>58</v>
      </c>
      <c r="V164" s="17" t="s">
        <v>59</v>
      </c>
      <c r="W164" s="17" t="s">
        <v>60</v>
      </c>
      <c r="X164" s="17" t="s">
        <v>61</v>
      </c>
      <c r="Y164" s="17" t="s">
        <v>62</v>
      </c>
      <c r="Z164" s="17" t="s">
        <v>63</v>
      </c>
      <c r="AA164" s="17" t="s">
        <v>64</v>
      </c>
      <c r="AB164" s="17" t="s">
        <v>65</v>
      </c>
      <c r="AC164" s="17" t="s">
        <v>66</v>
      </c>
      <c r="AD164" s="17" t="s">
        <v>67</v>
      </c>
      <c r="AE164" s="17" t="s">
        <v>68</v>
      </c>
      <c r="AF164" s="17" t="s">
        <v>69</v>
      </c>
      <c r="AG164" s="17" t="s">
        <v>70</v>
      </c>
      <c r="AH164" s="17" t="s">
        <v>71</v>
      </c>
      <c r="AI164" s="17" t="s">
        <v>72</v>
      </c>
      <c r="AJ164" s="17" t="s">
        <v>73</v>
      </c>
      <c r="AK164" s="17" t="s">
        <v>74</v>
      </c>
      <c r="AL164" s="17" t="s">
        <v>75</v>
      </c>
      <c r="AM164" s="17" t="s">
        <v>76</v>
      </c>
      <c r="AN164" s="17" t="s">
        <v>77</v>
      </c>
      <c r="AO164" s="17" t="s">
        <v>78</v>
      </c>
      <c r="AP164" s="17" t="s">
        <v>79</v>
      </c>
      <c r="AQ164" s="17" t="s">
        <v>80</v>
      </c>
      <c r="AR164" s="17" t="s">
        <v>81</v>
      </c>
      <c r="AS164" s="17" t="s">
        <v>82</v>
      </c>
      <c r="AT164" s="17" t="s">
        <v>83</v>
      </c>
      <c r="AU164" s="17" t="s">
        <v>84</v>
      </c>
      <c r="AV164" s="16" t="s">
        <v>8</v>
      </c>
    </row>
    <row r="165" spans="1:48" x14ac:dyDescent="0.35">
      <c r="A165" s="27"/>
      <c r="B165" s="18" t="s">
        <v>95</v>
      </c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>
        <v>2472.75</v>
      </c>
      <c r="AS165" s="18"/>
      <c r="AT165" s="18"/>
      <c r="AU165" s="18"/>
      <c r="AV165" s="19">
        <f t="shared" ref="AV165:AV191" si="6">SUM(A165:AU165)</f>
        <v>2472.75</v>
      </c>
    </row>
    <row r="166" spans="1:48" x14ac:dyDescent="0.35">
      <c r="A166" s="27"/>
      <c r="B166" s="18" t="s">
        <v>85</v>
      </c>
      <c r="C166" s="18"/>
      <c r="D166" s="18"/>
      <c r="E166" s="18"/>
      <c r="F166" s="18"/>
      <c r="G166" s="18"/>
      <c r="H166" s="18"/>
      <c r="I166" s="18"/>
      <c r="J166" s="18">
        <v>534.6</v>
      </c>
      <c r="K166" s="18"/>
      <c r="L166" s="18"/>
      <c r="M166" s="18"/>
      <c r="N166" s="18"/>
      <c r="O166" s="18"/>
      <c r="P166" s="18"/>
      <c r="Q166" s="18"/>
      <c r="R166" s="18"/>
      <c r="S166" s="18">
        <v>8400</v>
      </c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9">
        <f t="shared" si="6"/>
        <v>8934.6</v>
      </c>
    </row>
    <row r="167" spans="1:48" x14ac:dyDescent="0.35">
      <c r="A167" s="27"/>
      <c r="B167" s="18" t="s">
        <v>86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>
        <v>2861.6999999999994</v>
      </c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>
        <v>6634.1899999999969</v>
      </c>
      <c r="AS167" s="18"/>
      <c r="AT167" s="18"/>
      <c r="AU167" s="18"/>
      <c r="AV167" s="19">
        <f t="shared" si="6"/>
        <v>9495.8899999999958</v>
      </c>
    </row>
    <row r="168" spans="1:48" x14ac:dyDescent="0.35">
      <c r="A168" s="27"/>
      <c r="B168" s="18" t="s">
        <v>32</v>
      </c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>
        <v>5776</v>
      </c>
      <c r="Z168" s="18">
        <v>4482.449999999998</v>
      </c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9">
        <f t="shared" si="6"/>
        <v>10258.449999999997</v>
      </c>
    </row>
    <row r="169" spans="1:48" x14ac:dyDescent="0.35">
      <c r="A169" s="27"/>
      <c r="B169" s="18" t="s">
        <v>29</v>
      </c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>
        <v>5985</v>
      </c>
      <c r="V169" s="18"/>
      <c r="W169" s="18"/>
      <c r="X169" s="18"/>
      <c r="Y169" s="18">
        <v>9975</v>
      </c>
      <c r="Z169" s="18">
        <v>9206.81</v>
      </c>
      <c r="AA169" s="18"/>
      <c r="AB169" s="18">
        <v>2548.1950000000006</v>
      </c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9">
        <f t="shared" si="6"/>
        <v>27715.004999999997</v>
      </c>
    </row>
    <row r="170" spans="1:48" x14ac:dyDescent="0.35">
      <c r="A170" s="27"/>
      <c r="B170" s="18" t="s">
        <v>102</v>
      </c>
      <c r="C170" s="18"/>
      <c r="D170" s="18"/>
      <c r="E170" s="18">
        <v>4692.4400000000014</v>
      </c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>
        <v>2546.4750000000004</v>
      </c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>
        <v>4214.4000000000005</v>
      </c>
      <c r="AS170" s="18"/>
      <c r="AT170" s="18"/>
      <c r="AU170" s="18"/>
      <c r="AV170" s="19">
        <f t="shared" si="6"/>
        <v>11453.315000000002</v>
      </c>
    </row>
    <row r="171" spans="1:48" x14ac:dyDescent="0.35">
      <c r="A171" s="27"/>
      <c r="B171" s="18" t="s">
        <v>21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9">
        <f t="shared" si="6"/>
        <v>0</v>
      </c>
    </row>
    <row r="172" spans="1:48" x14ac:dyDescent="0.35">
      <c r="A172" s="27"/>
      <c r="B172" s="18" t="s">
        <v>11</v>
      </c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>
        <v>8612</v>
      </c>
      <c r="X172" s="18"/>
      <c r="Y172" s="18"/>
      <c r="Z172" s="18">
        <v>75854.194999999963</v>
      </c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>
        <v>122094.04000000002</v>
      </c>
      <c r="AQ172" s="18"/>
      <c r="AR172" s="18">
        <v>19316.77</v>
      </c>
      <c r="AS172" s="18"/>
      <c r="AT172" s="18">
        <v>27551.014999999989</v>
      </c>
      <c r="AU172" s="18">
        <v>6908.78</v>
      </c>
      <c r="AV172" s="19">
        <f t="shared" si="6"/>
        <v>260336.79999999996</v>
      </c>
    </row>
    <row r="173" spans="1:48" x14ac:dyDescent="0.35">
      <c r="A173" s="27"/>
      <c r="B173" s="18" t="s">
        <v>98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>
        <v>5417.9999999999991</v>
      </c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9">
        <f t="shared" si="6"/>
        <v>5417.9999999999991</v>
      </c>
    </row>
    <row r="174" spans="1:48" x14ac:dyDescent="0.35">
      <c r="A174" s="27"/>
      <c r="B174" s="18" t="s">
        <v>99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>
        <v>6440</v>
      </c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>
        <v>0</v>
      </c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9">
        <f t="shared" si="6"/>
        <v>6440</v>
      </c>
    </row>
    <row r="175" spans="1:48" x14ac:dyDescent="0.35">
      <c r="A175" s="27"/>
      <c r="B175" s="18" t="s">
        <v>12</v>
      </c>
      <c r="C175" s="18"/>
      <c r="D175" s="18"/>
      <c r="E175" s="18"/>
      <c r="F175" s="18"/>
      <c r="G175" s="18"/>
      <c r="H175" s="18"/>
      <c r="I175" s="18">
        <v>5279.4</v>
      </c>
      <c r="J175" s="18"/>
      <c r="K175" s="18"/>
      <c r="L175" s="18"/>
      <c r="M175" s="18"/>
      <c r="N175" s="18">
        <v>5279.4</v>
      </c>
      <c r="O175" s="18"/>
      <c r="P175" s="18"/>
      <c r="Q175" s="18"/>
      <c r="R175" s="18"/>
      <c r="S175" s="18"/>
      <c r="T175" s="18"/>
      <c r="U175" s="18"/>
      <c r="V175" s="18">
        <v>11287.5</v>
      </c>
      <c r="W175" s="18"/>
      <c r="X175" s="18"/>
      <c r="Y175" s="18"/>
      <c r="Z175" s="18">
        <v>31342.5</v>
      </c>
      <c r="AA175" s="18"/>
      <c r="AB175" s="18"/>
      <c r="AC175" s="18"/>
      <c r="AD175" s="18"/>
      <c r="AE175" s="18"/>
      <c r="AF175" s="18">
        <v>5279.4</v>
      </c>
      <c r="AG175" s="18"/>
      <c r="AH175" s="18">
        <v>10481.625</v>
      </c>
      <c r="AI175" s="18">
        <v>9407.4749999999949</v>
      </c>
      <c r="AJ175" s="18">
        <v>4252.5</v>
      </c>
      <c r="AK175" s="18">
        <v>600</v>
      </c>
      <c r="AL175" s="18"/>
      <c r="AM175" s="18"/>
      <c r="AN175" s="18"/>
      <c r="AO175" s="18">
        <v>16227.67499999999</v>
      </c>
      <c r="AP175" s="18"/>
      <c r="AQ175" s="18">
        <v>5279.4</v>
      </c>
      <c r="AR175" s="18"/>
      <c r="AS175" s="18"/>
      <c r="AT175" s="18"/>
      <c r="AU175" s="18"/>
      <c r="AV175" s="19">
        <f t="shared" si="6"/>
        <v>104716.87499999999</v>
      </c>
    </row>
    <row r="176" spans="1:48" x14ac:dyDescent="0.35">
      <c r="A176" s="27"/>
      <c r="B176" s="18" t="s">
        <v>13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9">
        <f t="shared" si="6"/>
        <v>0</v>
      </c>
    </row>
    <row r="177" spans="1:48" x14ac:dyDescent="0.35">
      <c r="A177" s="27"/>
      <c r="B177" s="18" t="s">
        <v>14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>
        <v>6858.4850000000042</v>
      </c>
      <c r="R177" s="18"/>
      <c r="S177" s="18"/>
      <c r="T177" s="18"/>
      <c r="U177" s="18"/>
      <c r="V177" s="18"/>
      <c r="W177" s="18"/>
      <c r="X177" s="18"/>
      <c r="Y177" s="18"/>
      <c r="Z177" s="18">
        <v>16737.815000000017</v>
      </c>
      <c r="AA177" s="18"/>
      <c r="AB177" s="18"/>
      <c r="AC177" s="18"/>
      <c r="AD177" s="18"/>
      <c r="AE177" s="18"/>
      <c r="AF177" s="18">
        <v>1970.6799999999996</v>
      </c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>
        <v>15204.565000000004</v>
      </c>
      <c r="AS177" s="18"/>
      <c r="AT177" s="18"/>
      <c r="AU177" s="18"/>
      <c r="AV177" s="19">
        <f t="shared" si="6"/>
        <v>40771.545000000027</v>
      </c>
    </row>
    <row r="178" spans="1:48" x14ac:dyDescent="0.35">
      <c r="A178" s="27"/>
      <c r="B178" s="18" t="s">
        <v>25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9">
        <f t="shared" si="6"/>
        <v>0</v>
      </c>
    </row>
    <row r="179" spans="1:48" x14ac:dyDescent="0.35">
      <c r="A179" s="27"/>
      <c r="B179" s="18" t="s">
        <v>88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9">
        <f t="shared" si="6"/>
        <v>0</v>
      </c>
    </row>
    <row r="180" spans="1:48" x14ac:dyDescent="0.35">
      <c r="A180" s="27"/>
      <c r="B180" s="18" t="s">
        <v>89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>
        <v>0</v>
      </c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9">
        <f t="shared" si="6"/>
        <v>0</v>
      </c>
    </row>
    <row r="181" spans="1:48" x14ac:dyDescent="0.35">
      <c r="A181" s="27"/>
      <c r="B181" s="18" t="s">
        <v>100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>
        <v>0</v>
      </c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9">
        <f t="shared" si="6"/>
        <v>0</v>
      </c>
    </row>
    <row r="182" spans="1:48" x14ac:dyDescent="0.35">
      <c r="A182" s="27"/>
      <c r="B182" s="18" t="s">
        <v>90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>
        <v>0</v>
      </c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>
        <v>3397.48</v>
      </c>
      <c r="AS182" s="18"/>
      <c r="AT182" s="18"/>
      <c r="AU182" s="18"/>
      <c r="AV182" s="19">
        <f t="shared" si="6"/>
        <v>3397.48</v>
      </c>
    </row>
    <row r="183" spans="1:48" x14ac:dyDescent="0.35">
      <c r="A183" s="27"/>
      <c r="B183" s="18" t="s">
        <v>26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>
        <v>6158.0950000000003</v>
      </c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>
        <v>11680.049999999996</v>
      </c>
      <c r="AS183" s="18"/>
      <c r="AT183" s="18"/>
      <c r="AU183" s="18"/>
      <c r="AV183" s="19">
        <f t="shared" si="6"/>
        <v>17838.144999999997</v>
      </c>
    </row>
    <row r="184" spans="1:48" x14ac:dyDescent="0.35">
      <c r="A184" s="27"/>
      <c r="B184" s="18" t="s">
        <v>91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>
        <v>8756.25</v>
      </c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9">
        <f t="shared" si="6"/>
        <v>8756.25</v>
      </c>
    </row>
    <row r="185" spans="1:48" x14ac:dyDescent="0.35">
      <c r="A185" s="27"/>
      <c r="B185" s="18" t="s">
        <v>101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>
        <v>4823.5999999999995</v>
      </c>
      <c r="AT185" s="18"/>
      <c r="AU185" s="18"/>
      <c r="AV185" s="19">
        <f t="shared" si="6"/>
        <v>4823.5999999999995</v>
      </c>
    </row>
    <row r="186" spans="1:48" x14ac:dyDescent="0.35">
      <c r="A186" s="27"/>
      <c r="B186" s="18" t="s">
        <v>92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9">
        <f t="shared" si="6"/>
        <v>0</v>
      </c>
    </row>
    <row r="187" spans="1:48" x14ac:dyDescent="0.35">
      <c r="A187" s="27"/>
      <c r="B187" s="18" t="s">
        <v>27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>
        <v>1897.885</v>
      </c>
      <c r="N187" s="18"/>
      <c r="O187" s="18"/>
      <c r="P187" s="18"/>
      <c r="Q187" s="18"/>
      <c r="R187" s="18"/>
      <c r="S187" s="18"/>
      <c r="T187" s="18">
        <v>2455.0899999999997</v>
      </c>
      <c r="U187" s="18">
        <v>5700</v>
      </c>
      <c r="V187" s="18"/>
      <c r="W187" s="18"/>
      <c r="X187" s="18">
        <v>2275.5</v>
      </c>
      <c r="Y187" s="18"/>
      <c r="Z187" s="18">
        <v>6562.5</v>
      </c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9">
        <f t="shared" si="6"/>
        <v>18890.974999999999</v>
      </c>
    </row>
    <row r="188" spans="1:48" x14ac:dyDescent="0.35">
      <c r="A188" s="27"/>
      <c r="B188" s="18" t="s">
        <v>16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9">
        <f t="shared" si="6"/>
        <v>0</v>
      </c>
    </row>
    <row r="189" spans="1:48" x14ac:dyDescent="0.35">
      <c r="A189" s="27"/>
      <c r="B189" s="18" t="s">
        <v>22</v>
      </c>
      <c r="C189" s="18"/>
      <c r="D189" s="18"/>
      <c r="E189" s="18"/>
      <c r="F189" s="18"/>
      <c r="G189" s="18">
        <v>1752.6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>
        <v>0</v>
      </c>
      <c r="AG189" s="18"/>
      <c r="AH189" s="18"/>
      <c r="AI189" s="18">
        <v>2430.9</v>
      </c>
      <c r="AJ189" s="18">
        <v>3240</v>
      </c>
      <c r="AK189" s="18">
        <v>3300</v>
      </c>
      <c r="AL189" s="18"/>
      <c r="AM189" s="18"/>
      <c r="AN189" s="18"/>
      <c r="AO189" s="18">
        <v>5598.0999999999995</v>
      </c>
      <c r="AP189" s="18"/>
      <c r="AQ189" s="18"/>
      <c r="AR189" s="18"/>
      <c r="AS189" s="18"/>
      <c r="AT189" s="18"/>
      <c r="AU189" s="18"/>
      <c r="AV189" s="19">
        <f t="shared" si="6"/>
        <v>16321.599999999999</v>
      </c>
    </row>
    <row r="190" spans="1:48" x14ac:dyDescent="0.35">
      <c r="A190" s="27"/>
      <c r="B190" s="18" t="s">
        <v>17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>
        <v>4690.3499999999995</v>
      </c>
      <c r="AL190" s="18">
        <v>3081.75</v>
      </c>
      <c r="AM190" s="18"/>
      <c r="AN190" s="18"/>
      <c r="AO190" s="18">
        <v>4622.625</v>
      </c>
      <c r="AP190" s="18"/>
      <c r="AQ190" s="18"/>
      <c r="AR190" s="18"/>
      <c r="AS190" s="18"/>
      <c r="AT190" s="18"/>
      <c r="AU190" s="18"/>
      <c r="AV190" s="19">
        <f t="shared" si="6"/>
        <v>12394.724999999999</v>
      </c>
    </row>
    <row r="191" spans="1:48" x14ac:dyDescent="0.35">
      <c r="A191" s="27"/>
      <c r="B191" s="18" t="s">
        <v>93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>
        <v>5982.1799999999994</v>
      </c>
      <c r="AS191" s="18"/>
      <c r="AT191" s="18"/>
      <c r="AU191" s="18"/>
      <c r="AV191" s="19">
        <f t="shared" si="6"/>
        <v>5982.1799999999994</v>
      </c>
    </row>
    <row r="192" spans="1:48" x14ac:dyDescent="0.35">
      <c r="A192" s="27"/>
      <c r="B192" s="21" t="s">
        <v>18</v>
      </c>
      <c r="C192" s="21">
        <f>SUBTOTAL(109,Table22[3D Recruitment])</f>
        <v>0</v>
      </c>
      <c r="D192" s="21">
        <f>SUBTOTAL(109,Table22[App Locum])</f>
        <v>0</v>
      </c>
      <c r="E192" s="21">
        <f>SUBTOTAL(109,Table22[Athona])</f>
        <v>4692.4400000000014</v>
      </c>
      <c r="F192" s="21">
        <f>SUBTOTAL(109,Table22[Beacon])</f>
        <v>0</v>
      </c>
      <c r="G192" s="21">
        <f>SUBTOTAL(109,Table22[Biggs Healthcare])</f>
        <v>1752.6</v>
      </c>
      <c r="H192" s="21">
        <f>SUBTOTAL(109,Table22[Care Solutions])</f>
        <v>0</v>
      </c>
      <c r="I192" s="21">
        <f>SUBTOTAL(109,Table22[CES Locums])</f>
        <v>5279.4</v>
      </c>
      <c r="J192" s="21">
        <f>SUBTOTAL(109,Table22[Chase Medical])</f>
        <v>534.6</v>
      </c>
      <c r="K192" s="21">
        <f>SUBTOTAL(109,Table22[Day Webster])</f>
        <v>0</v>
      </c>
      <c r="L192" s="21">
        <f>SUBTOTAL(109,Table22[DRC Locums])</f>
        <v>0</v>
      </c>
      <c r="M192" s="21">
        <f>SUBTOTAL(109,Table22[Enviva Care])</f>
        <v>1897.885</v>
      </c>
      <c r="N192" s="21">
        <f>SUBTOTAL(109,Table22[HCL])</f>
        <v>5279.4</v>
      </c>
      <c r="O192" s="21">
        <f>SUBTOTAL(109,Table22[Hourglass])</f>
        <v>0</v>
      </c>
      <c r="P192" s="21">
        <f>SUBTOTAL(109,Table22[Hunter Mental Health])</f>
        <v>0</v>
      </c>
      <c r="Q192" s="21">
        <f>SUBTOTAL(109,Table22[ID Medical])</f>
        <v>6858.4850000000042</v>
      </c>
      <c r="R192" s="21">
        <f>SUBTOTAL(109,Table22[IMC LOCUMS])</f>
        <v>6440</v>
      </c>
      <c r="S192" s="21">
        <f>SUBTOTAL(109,Table22[Locummeds])</f>
        <v>8400</v>
      </c>
      <c r="T192" s="21">
        <f>SUBTOTAL(109,Table22[Maxxima Ltd t/a Labmed Recruitment])</f>
        <v>2455.0899999999997</v>
      </c>
      <c r="U192" s="21">
        <f>SUBTOTAL(109,Table22[Medicare Health Professional])</f>
        <v>11685</v>
      </c>
      <c r="V192" s="21">
        <f>SUBTOTAL(109,Table22[Medicure Professional LTD])</f>
        <v>11287.5</v>
      </c>
      <c r="W192" s="21">
        <f>SUBTOTAL(109,Table22[Medilink])</f>
        <v>8612</v>
      </c>
      <c r="X192" s="21">
        <f>SUBTOTAL(109,Table22[Medsol Healthcare Services Ltd])</f>
        <v>2275.5</v>
      </c>
      <c r="Y192" s="21">
        <f>SUBTOTAL(109,Table22[MHP])</f>
        <v>15751</v>
      </c>
      <c r="Z192" s="21">
        <f>SUBTOTAL(109,Table22[MSI Recruitment])</f>
        <v>155752.53999999998</v>
      </c>
      <c r="AA192" s="21">
        <f>SUBTOTAL(109,Table22[MSU])</f>
        <v>0</v>
      </c>
      <c r="AB192" s="21">
        <f>SUBTOTAL(109,Table22[NURSING 2000])</f>
        <v>2548.1950000000006</v>
      </c>
      <c r="AC192" s="21">
        <f>SUBTOTAL(109,Table22[P E Global Healthcare])</f>
        <v>0</v>
      </c>
      <c r="AD192" s="21">
        <f>SUBTOTAL(109,Table22[PerTemps])</f>
        <v>0</v>
      </c>
      <c r="AE192" s="21">
        <f>SUBTOTAL(109,Table22[PSL RECRUITMENT])</f>
        <v>0</v>
      </c>
      <c r="AF192" s="21">
        <f>SUBTOTAL(109,Table22[Pulse])</f>
        <v>16006.329999999998</v>
      </c>
      <c r="AG192" s="21">
        <f>SUBTOTAL(109,Table22[Redspot Care Ltd])</f>
        <v>0</v>
      </c>
      <c r="AH192" s="21">
        <f>SUBTOTAL(109,Table22[Sanctuary])</f>
        <v>15899.625</v>
      </c>
      <c r="AI192" s="21">
        <f>SUBTOTAL(109,Table22[Sensible Staffing])</f>
        <v>11838.374999999995</v>
      </c>
      <c r="AJ192" s="21">
        <f>SUBTOTAL(109,Table22[Service Care Solutions])</f>
        <v>7492.5</v>
      </c>
      <c r="AK192" s="21">
        <f>SUBTOTAL(109,Table22[Seven Resoucing])</f>
        <v>8590.3499999999985</v>
      </c>
      <c r="AL192" s="21">
        <f>SUBTOTAL(109,Table22[Seven Social Care])</f>
        <v>3081.75</v>
      </c>
      <c r="AM192" s="21">
        <f>SUBTOTAL(109,Table22[TBC])</f>
        <v>0</v>
      </c>
      <c r="AN192" s="21">
        <f>SUBTOTAL(109,Table22[The London Teaching Pool])</f>
        <v>0</v>
      </c>
      <c r="AO192" s="21">
        <f>SUBTOTAL(109,Table22[Tripod])</f>
        <v>26448.399999999991</v>
      </c>
      <c r="AP192" s="21">
        <f>SUBTOTAL(109,Table22[Unity Healthcare])</f>
        <v>122094.04000000002</v>
      </c>
      <c r="AQ192" s="21">
        <f>SUBTOTAL(109,Table22[West Meria])</f>
        <v>5279.4</v>
      </c>
      <c r="AR192" s="21">
        <f>SUBTOTAL(109,Table22[Your World])</f>
        <v>68902.384999999995</v>
      </c>
      <c r="AS192" s="21">
        <f>SUBTOTAL(109,Table22[Your World Healthcare])</f>
        <v>4823.5999999999995</v>
      </c>
      <c r="AT192" s="21">
        <f>SUBTOTAL(109,Table22[Your World Nursing])</f>
        <v>27551.014999999989</v>
      </c>
      <c r="AU192" s="21">
        <f>SUBTOTAL(109,Table22[Your World Recruitment Ltd])</f>
        <v>6908.78</v>
      </c>
      <c r="AV192" s="21">
        <f>SUBTOTAL(109,Table22[Grand Total])</f>
        <v>576418.18499999994</v>
      </c>
    </row>
    <row r="194" spans="1:48" x14ac:dyDescent="0.35">
      <c r="A194" s="26" t="s">
        <v>34</v>
      </c>
      <c r="B194" s="17" t="s">
        <v>39</v>
      </c>
      <c r="C194" s="17" t="s">
        <v>40</v>
      </c>
      <c r="D194" s="17" t="s">
        <v>41</v>
      </c>
      <c r="E194" s="17" t="s">
        <v>42</v>
      </c>
      <c r="F194" s="17" t="s">
        <v>43</v>
      </c>
      <c r="G194" s="17" t="s">
        <v>44</v>
      </c>
      <c r="H194" s="17" t="s">
        <v>45</v>
      </c>
      <c r="I194" s="17" t="s">
        <v>46</v>
      </c>
      <c r="J194" s="17" t="s">
        <v>47</v>
      </c>
      <c r="K194" s="17" t="s">
        <v>48</v>
      </c>
      <c r="L194" s="17" t="s">
        <v>49</v>
      </c>
      <c r="M194" s="17" t="s">
        <v>50</v>
      </c>
      <c r="N194" s="17" t="s">
        <v>51</v>
      </c>
      <c r="O194" s="17" t="s">
        <v>52</v>
      </c>
      <c r="P194" s="17" t="s">
        <v>53</v>
      </c>
      <c r="Q194" s="17" t="s">
        <v>54</v>
      </c>
      <c r="R194" s="17" t="s">
        <v>55</v>
      </c>
      <c r="S194" s="17" t="s">
        <v>56</v>
      </c>
      <c r="T194" s="17" t="s">
        <v>57</v>
      </c>
      <c r="U194" s="17" t="s">
        <v>58</v>
      </c>
      <c r="V194" s="17" t="s">
        <v>59</v>
      </c>
      <c r="W194" s="17" t="s">
        <v>60</v>
      </c>
      <c r="X194" s="17" t="s">
        <v>61</v>
      </c>
      <c r="Y194" s="17" t="s">
        <v>62</v>
      </c>
      <c r="Z194" s="17" t="s">
        <v>63</v>
      </c>
      <c r="AA194" s="17" t="s">
        <v>64</v>
      </c>
      <c r="AB194" s="17" t="s">
        <v>65</v>
      </c>
      <c r="AC194" s="17" t="s">
        <v>66</v>
      </c>
      <c r="AD194" s="17" t="s">
        <v>67</v>
      </c>
      <c r="AE194" s="17" t="s">
        <v>68</v>
      </c>
      <c r="AF194" s="17" t="s">
        <v>69</v>
      </c>
      <c r="AG194" s="17" t="s">
        <v>70</v>
      </c>
      <c r="AH194" s="17" t="s">
        <v>71</v>
      </c>
      <c r="AI194" s="17" t="s">
        <v>72</v>
      </c>
      <c r="AJ194" s="17" t="s">
        <v>73</v>
      </c>
      <c r="AK194" s="17" t="s">
        <v>74</v>
      </c>
      <c r="AL194" s="17" t="s">
        <v>75</v>
      </c>
      <c r="AM194" s="17" t="s">
        <v>76</v>
      </c>
      <c r="AN194" s="17" t="s">
        <v>77</v>
      </c>
      <c r="AO194" s="17" t="s">
        <v>78</v>
      </c>
      <c r="AP194" s="17" t="s">
        <v>79</v>
      </c>
      <c r="AQ194" s="17" t="s">
        <v>80</v>
      </c>
      <c r="AR194" s="17" t="s">
        <v>81</v>
      </c>
      <c r="AS194" s="17" t="s">
        <v>82</v>
      </c>
      <c r="AT194" s="17" t="s">
        <v>83</v>
      </c>
      <c r="AU194" s="17" t="s">
        <v>84</v>
      </c>
      <c r="AV194" s="16" t="s">
        <v>8</v>
      </c>
    </row>
    <row r="195" spans="1:48" x14ac:dyDescent="0.35">
      <c r="A195" s="27"/>
      <c r="B195" s="18" t="s">
        <v>86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>
        <v>2221.0499999999997</v>
      </c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>
        <v>7161.7699999999977</v>
      </c>
      <c r="AS195" s="18"/>
      <c r="AT195" s="18"/>
      <c r="AU195" s="18"/>
      <c r="AV195" s="19">
        <f>SUM(A195:AU195)</f>
        <v>9382.8199999999979</v>
      </c>
    </row>
    <row r="196" spans="1:48" x14ac:dyDescent="0.35">
      <c r="A196" s="27"/>
      <c r="B196" s="18" t="s">
        <v>32</v>
      </c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>
        <v>8094</v>
      </c>
      <c r="Z196" s="18">
        <v>5222.1899999999987</v>
      </c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9">
        <f t="shared" ref="AV196:AV201" si="7">SUM(A196:AU196)</f>
        <v>13316.189999999999</v>
      </c>
    </row>
    <row r="197" spans="1:48" x14ac:dyDescent="0.35">
      <c r="A197" s="27"/>
      <c r="B197" s="18" t="s">
        <v>29</v>
      </c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>
        <v>12046</v>
      </c>
      <c r="V197" s="18"/>
      <c r="W197" s="18"/>
      <c r="X197" s="18"/>
      <c r="Y197" s="18">
        <v>7277</v>
      </c>
      <c r="Z197" s="18">
        <v>9618.07</v>
      </c>
      <c r="AA197" s="18"/>
      <c r="AB197" s="18">
        <v>2768.0900000000006</v>
      </c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>
        <v>2381.7750000000005</v>
      </c>
      <c r="AS197" s="18"/>
      <c r="AT197" s="18"/>
      <c r="AU197" s="18"/>
      <c r="AV197" s="19">
        <f t="shared" si="7"/>
        <v>34090.934999999998</v>
      </c>
    </row>
    <row r="198" spans="1:48" x14ac:dyDescent="0.35">
      <c r="A198" s="27"/>
      <c r="B198" s="18" t="s">
        <v>102</v>
      </c>
      <c r="C198" s="18"/>
      <c r="D198" s="18"/>
      <c r="E198" s="18">
        <v>5303.1000000000022</v>
      </c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>
        <v>2155.0500000000002</v>
      </c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>
        <v>5794.7999999999984</v>
      </c>
      <c r="AS198" s="18"/>
      <c r="AT198" s="18"/>
      <c r="AU198" s="18"/>
      <c r="AV198" s="19">
        <f t="shared" si="7"/>
        <v>13252.95</v>
      </c>
    </row>
    <row r="199" spans="1:48" x14ac:dyDescent="0.35">
      <c r="A199" s="27"/>
      <c r="B199" s="18" t="s">
        <v>103</v>
      </c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>
        <v>101.44999999999999</v>
      </c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9">
        <f t="shared" si="7"/>
        <v>101.44999999999999</v>
      </c>
    </row>
    <row r="200" spans="1:48" x14ac:dyDescent="0.35">
      <c r="A200" s="27"/>
      <c r="B200" s="18" t="s">
        <v>27</v>
      </c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>
        <v>1386.4749999999999</v>
      </c>
      <c r="N200" s="18"/>
      <c r="O200" s="18"/>
      <c r="P200" s="18"/>
      <c r="Q200" s="18"/>
      <c r="R200" s="18"/>
      <c r="S200" s="18"/>
      <c r="T200" s="18">
        <v>2455.0899999999997</v>
      </c>
      <c r="U200" s="18"/>
      <c r="V200" s="18"/>
      <c r="W200" s="18"/>
      <c r="X200" s="18">
        <v>629</v>
      </c>
      <c r="Y200" s="18"/>
      <c r="Z200" s="18">
        <v>4725</v>
      </c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9">
        <f t="shared" si="7"/>
        <v>9195.5649999999987</v>
      </c>
    </row>
    <row r="201" spans="1:48" x14ac:dyDescent="0.35">
      <c r="A201" s="27"/>
      <c r="B201" s="18" t="s">
        <v>22</v>
      </c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>
        <v>0</v>
      </c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9">
        <f t="shared" si="7"/>
        <v>0</v>
      </c>
    </row>
    <row r="202" spans="1:48" x14ac:dyDescent="0.35">
      <c r="A202" s="27"/>
      <c r="B202" s="21" t="s">
        <v>18</v>
      </c>
      <c r="C202" s="21">
        <f>SUBTOTAL(109,Table28[3D Recruitment])</f>
        <v>0</v>
      </c>
      <c r="D202" s="21">
        <f>SUBTOTAL(109,Table28[App Locum])</f>
        <v>0</v>
      </c>
      <c r="E202" s="21">
        <f>SUBTOTAL(109,Table28[Athona])</f>
        <v>5303.1000000000022</v>
      </c>
      <c r="F202" s="21">
        <f>SUBTOTAL(109,Table28[Beacon])</f>
        <v>0</v>
      </c>
      <c r="G202" s="21">
        <f>SUBTOTAL(109,Table28[Biggs Healthcare])</f>
        <v>0</v>
      </c>
      <c r="H202" s="21">
        <f>SUBTOTAL(109,Table28[Care Solutions])</f>
        <v>0</v>
      </c>
      <c r="I202" s="21">
        <f>SUBTOTAL(109,Table28[CES Locums])</f>
        <v>0</v>
      </c>
      <c r="J202" s="21">
        <f>SUBTOTAL(109,Table28[Chase Medical])</f>
        <v>0</v>
      </c>
      <c r="K202" s="21">
        <f>SUBTOTAL(109,Table28[Day Webster])</f>
        <v>0</v>
      </c>
      <c r="L202" s="21">
        <f>SUBTOTAL(109,Table28[DRC Locums])</f>
        <v>0</v>
      </c>
      <c r="M202" s="21">
        <f>SUBTOTAL(109,Table28[Enviva Care])</f>
        <v>1386.4749999999999</v>
      </c>
      <c r="N202" s="21">
        <f>SUBTOTAL(109,Table28[HCL])</f>
        <v>0</v>
      </c>
      <c r="O202" s="21">
        <f>SUBTOTAL(109,Table28[Hourglass])</f>
        <v>0</v>
      </c>
      <c r="P202" s="21">
        <f>SUBTOTAL(109,Table28[Hunter Mental Health])</f>
        <v>0</v>
      </c>
      <c r="Q202" s="21">
        <f>SUBTOTAL(109,Table28[ID Medical])</f>
        <v>0</v>
      </c>
      <c r="R202" s="21">
        <f>SUBTOTAL(109,Table28[IMC LOCUMS])</f>
        <v>0</v>
      </c>
      <c r="S202" s="21">
        <f>SUBTOTAL(109,Table28[Locummeds])</f>
        <v>0</v>
      </c>
      <c r="T202" s="21">
        <f>SUBTOTAL(109,Table28[Maxxima Ltd t/a Labmed Recruitment])</f>
        <v>2556.5399999999995</v>
      </c>
      <c r="U202" s="21">
        <f>SUBTOTAL(109,Table28[Medicare Health Professional])</f>
        <v>12046</v>
      </c>
      <c r="V202" s="21">
        <f>SUBTOTAL(109,Table28[Medicure Professional LTD])</f>
        <v>0</v>
      </c>
      <c r="W202" s="21">
        <f>SUBTOTAL(109,Table28[Medilink])</f>
        <v>0</v>
      </c>
      <c r="X202" s="21">
        <f>SUBTOTAL(109,Table28[Medsol Healthcare Services Ltd])</f>
        <v>629</v>
      </c>
      <c r="Y202" s="21">
        <f>SUBTOTAL(109,Table28[MHP])</f>
        <v>15371</v>
      </c>
      <c r="Z202" s="21">
        <f>SUBTOTAL(109,Table28[MSI Recruitment])</f>
        <v>23941.359999999997</v>
      </c>
      <c r="AA202" s="21">
        <f>SUBTOTAL(109,Table28[MSU])</f>
        <v>0</v>
      </c>
      <c r="AB202" s="21">
        <f>SUBTOTAL(109,Table28[NURSING 2000])</f>
        <v>2768.0900000000006</v>
      </c>
      <c r="AC202" s="21">
        <f>SUBTOTAL(109,Table28[P E Global Healthcare])</f>
        <v>0</v>
      </c>
      <c r="AD202" s="21">
        <f>SUBTOTAL(109,Table28[PerTemps])</f>
        <v>0</v>
      </c>
      <c r="AE202" s="21">
        <f>SUBTOTAL(109,Table28[PSL RECRUITMENT])</f>
        <v>0</v>
      </c>
      <c r="AF202" s="21">
        <f>SUBTOTAL(109,Table28[Pulse])</f>
        <v>0</v>
      </c>
      <c r="AG202" s="21">
        <f>SUBTOTAL(109,Table28[Redspot Care Ltd])</f>
        <v>0</v>
      </c>
      <c r="AH202" s="21">
        <f>SUBTOTAL(109,Table28[Sanctuary])</f>
        <v>0</v>
      </c>
      <c r="AI202" s="21">
        <f>SUBTOTAL(109,Table28[Sensible Staffing])</f>
        <v>0</v>
      </c>
      <c r="AJ202" s="21">
        <f>SUBTOTAL(109,Table28[Service Care Solutions])</f>
        <v>0</v>
      </c>
      <c r="AK202" s="21">
        <f>SUBTOTAL(109,Table28[Seven Resoucing])</f>
        <v>0</v>
      </c>
      <c r="AL202" s="21">
        <f>SUBTOTAL(109,Table28[Seven Social Care])</f>
        <v>0</v>
      </c>
      <c r="AM202" s="21">
        <f>SUBTOTAL(109,Table28[TBC])</f>
        <v>0</v>
      </c>
      <c r="AN202" s="21">
        <f>SUBTOTAL(109,Table28[The London Teaching Pool])</f>
        <v>0</v>
      </c>
      <c r="AO202" s="21">
        <f>SUBTOTAL(109,Table28[Tripod])</f>
        <v>0</v>
      </c>
      <c r="AP202" s="21">
        <f>SUBTOTAL(109,Table28[Unity Healthcare])</f>
        <v>0</v>
      </c>
      <c r="AQ202" s="21">
        <f>SUBTOTAL(109,Table28[West Meria])</f>
        <v>0</v>
      </c>
      <c r="AR202" s="21">
        <f>SUBTOTAL(109,Table28[Your World])</f>
        <v>15338.344999999998</v>
      </c>
      <c r="AS202" s="21">
        <f>SUBTOTAL(109,Table28[Your World Healthcare])</f>
        <v>0</v>
      </c>
      <c r="AT202" s="21">
        <f>SUBTOTAL(109,Table28[Your World Nursing])</f>
        <v>0</v>
      </c>
      <c r="AU202" s="21">
        <f>SUBTOTAL(109,Table28[Your World Recruitment Ltd])</f>
        <v>0</v>
      </c>
      <c r="AV202" s="21">
        <f>SUBTOTAL(109,Table28[Grand Total])</f>
        <v>79339.909999999989</v>
      </c>
    </row>
    <row r="204" spans="1:48" x14ac:dyDescent="0.35">
      <c r="A204" s="26" t="s">
        <v>35</v>
      </c>
      <c r="B204" s="17" t="s">
        <v>39</v>
      </c>
      <c r="C204" s="17" t="s">
        <v>40</v>
      </c>
      <c r="D204" s="17" t="s">
        <v>41</v>
      </c>
      <c r="E204" s="17" t="s">
        <v>42</v>
      </c>
      <c r="F204" s="17" t="s">
        <v>43</v>
      </c>
      <c r="G204" s="17" t="s">
        <v>44</v>
      </c>
      <c r="H204" s="17" t="s">
        <v>45</v>
      </c>
      <c r="I204" s="17" t="s">
        <v>46</v>
      </c>
      <c r="J204" s="17" t="s">
        <v>47</v>
      </c>
      <c r="K204" s="17" t="s">
        <v>48</v>
      </c>
      <c r="L204" s="17" t="s">
        <v>49</v>
      </c>
      <c r="M204" s="17" t="s">
        <v>50</v>
      </c>
      <c r="N204" s="17" t="s">
        <v>51</v>
      </c>
      <c r="O204" s="17" t="s">
        <v>52</v>
      </c>
      <c r="P204" s="17" t="s">
        <v>53</v>
      </c>
      <c r="Q204" s="17" t="s">
        <v>54</v>
      </c>
      <c r="R204" s="17" t="s">
        <v>55</v>
      </c>
      <c r="S204" s="17" t="s">
        <v>56</v>
      </c>
      <c r="T204" s="17" t="s">
        <v>57</v>
      </c>
      <c r="U204" s="17" t="s">
        <v>58</v>
      </c>
      <c r="V204" s="17" t="s">
        <v>59</v>
      </c>
      <c r="W204" s="17" t="s">
        <v>60</v>
      </c>
      <c r="X204" s="17" t="s">
        <v>61</v>
      </c>
      <c r="Y204" s="17" t="s">
        <v>62</v>
      </c>
      <c r="Z204" s="17" t="s">
        <v>63</v>
      </c>
      <c r="AA204" s="17" t="s">
        <v>64</v>
      </c>
      <c r="AB204" s="17" t="s">
        <v>65</v>
      </c>
      <c r="AC204" s="17" t="s">
        <v>66</v>
      </c>
      <c r="AD204" s="17" t="s">
        <v>67</v>
      </c>
      <c r="AE204" s="17" t="s">
        <v>68</v>
      </c>
      <c r="AF204" s="17" t="s">
        <v>69</v>
      </c>
      <c r="AG204" s="17" t="s">
        <v>70</v>
      </c>
      <c r="AH204" s="17" t="s">
        <v>71</v>
      </c>
      <c r="AI204" s="17" t="s">
        <v>72</v>
      </c>
      <c r="AJ204" s="17" t="s">
        <v>73</v>
      </c>
      <c r="AK204" s="17" t="s">
        <v>74</v>
      </c>
      <c r="AL204" s="17" t="s">
        <v>75</v>
      </c>
      <c r="AM204" s="17" t="s">
        <v>76</v>
      </c>
      <c r="AN204" s="17" t="s">
        <v>77</v>
      </c>
      <c r="AO204" s="17" t="s">
        <v>78</v>
      </c>
      <c r="AP204" s="17" t="s">
        <v>79</v>
      </c>
      <c r="AQ204" s="17" t="s">
        <v>80</v>
      </c>
      <c r="AR204" s="17" t="s">
        <v>81</v>
      </c>
      <c r="AS204" s="17" t="s">
        <v>82</v>
      </c>
      <c r="AT204" s="17" t="s">
        <v>83</v>
      </c>
      <c r="AU204" s="17" t="s">
        <v>84</v>
      </c>
      <c r="AV204" s="16" t="s">
        <v>8</v>
      </c>
    </row>
    <row r="205" spans="1:48" x14ac:dyDescent="0.35">
      <c r="A205" s="27"/>
      <c r="B205" s="18" t="s">
        <v>95</v>
      </c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>
        <v>5357.625</v>
      </c>
      <c r="AS205" s="18"/>
      <c r="AT205" s="18"/>
      <c r="AU205" s="18"/>
      <c r="AV205" s="19">
        <f t="shared" ref="AV205:AV217" si="8">SUM(A205:AU205)</f>
        <v>5357.625</v>
      </c>
    </row>
    <row r="206" spans="1:48" x14ac:dyDescent="0.35">
      <c r="A206" s="27"/>
      <c r="B206" s="18" t="s">
        <v>85</v>
      </c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>
        <v>6800</v>
      </c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9">
        <f t="shared" si="8"/>
        <v>6800</v>
      </c>
    </row>
    <row r="207" spans="1:48" x14ac:dyDescent="0.35">
      <c r="A207" s="27"/>
      <c r="B207" s="18" t="s">
        <v>86</v>
      </c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>
        <v>2391.8999999999996</v>
      </c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>
        <v>6667.8699999999981</v>
      </c>
      <c r="AS207" s="18"/>
      <c r="AT207" s="18"/>
      <c r="AU207" s="18"/>
      <c r="AV207" s="19">
        <f t="shared" si="8"/>
        <v>9059.7699999999968</v>
      </c>
    </row>
    <row r="208" spans="1:48" x14ac:dyDescent="0.35">
      <c r="A208" s="27"/>
      <c r="B208" s="18" t="s">
        <v>32</v>
      </c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>
        <v>5624</v>
      </c>
      <c r="Z208" s="18">
        <v>426.90000000000003</v>
      </c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9">
        <f t="shared" si="8"/>
        <v>6050.9</v>
      </c>
    </row>
    <row r="209" spans="1:48" x14ac:dyDescent="0.35">
      <c r="A209" s="27"/>
      <c r="B209" s="18" t="s">
        <v>29</v>
      </c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>
        <v>10260</v>
      </c>
      <c r="V209" s="18"/>
      <c r="W209" s="18"/>
      <c r="X209" s="18"/>
      <c r="Y209" s="18">
        <v>12103</v>
      </c>
      <c r="Z209" s="18">
        <v>8895.3199999999979</v>
      </c>
      <c r="AA209" s="18"/>
      <c r="AB209" s="18">
        <v>3298.4250000000011</v>
      </c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>
        <v>3031.3500000000008</v>
      </c>
      <c r="AS209" s="18"/>
      <c r="AT209" s="18"/>
      <c r="AU209" s="18"/>
      <c r="AV209" s="19">
        <f t="shared" si="8"/>
        <v>37588.095000000001</v>
      </c>
    </row>
    <row r="210" spans="1:48" x14ac:dyDescent="0.35">
      <c r="A210" s="27"/>
      <c r="B210" s="18" t="s">
        <v>102</v>
      </c>
      <c r="C210" s="18"/>
      <c r="D210" s="18"/>
      <c r="E210" s="18">
        <v>4756.7200000000012</v>
      </c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>
        <v>3591.7500000000009</v>
      </c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>
        <v>5267.9999999999991</v>
      </c>
      <c r="AS210" s="18"/>
      <c r="AT210" s="18"/>
      <c r="AU210" s="18"/>
      <c r="AV210" s="19">
        <f t="shared" si="8"/>
        <v>13616.470000000001</v>
      </c>
    </row>
    <row r="211" spans="1:48" x14ac:dyDescent="0.35">
      <c r="A211" s="27"/>
      <c r="B211" s="18" t="s">
        <v>12</v>
      </c>
      <c r="C211" s="18"/>
      <c r="D211" s="18"/>
      <c r="E211" s="18"/>
      <c r="F211" s="18"/>
      <c r="G211" s="18"/>
      <c r="H211" s="18"/>
      <c r="I211" s="18">
        <v>5028</v>
      </c>
      <c r="J211" s="18"/>
      <c r="K211" s="18"/>
      <c r="L211" s="18"/>
      <c r="M211" s="18"/>
      <c r="N211" s="18">
        <v>5028</v>
      </c>
      <c r="O211" s="18"/>
      <c r="P211" s="18"/>
      <c r="Q211" s="18"/>
      <c r="R211" s="18"/>
      <c r="S211" s="18"/>
      <c r="T211" s="18"/>
      <c r="U211" s="18"/>
      <c r="V211" s="18">
        <v>6750</v>
      </c>
      <c r="W211" s="18"/>
      <c r="X211" s="18"/>
      <c r="Y211" s="18"/>
      <c r="Z211" s="18">
        <v>32931.449999999997</v>
      </c>
      <c r="AA211" s="18"/>
      <c r="AB211" s="18"/>
      <c r="AC211" s="18"/>
      <c r="AD211" s="18"/>
      <c r="AE211" s="18"/>
      <c r="AF211" s="18"/>
      <c r="AG211" s="18"/>
      <c r="AH211" s="18">
        <v>6060.75</v>
      </c>
      <c r="AI211" s="18">
        <v>8959.4999999999964</v>
      </c>
      <c r="AJ211" s="18">
        <v>3442.5</v>
      </c>
      <c r="AK211" s="18">
        <v>1200</v>
      </c>
      <c r="AL211" s="18"/>
      <c r="AM211" s="18">
        <v>5028</v>
      </c>
      <c r="AN211" s="18"/>
      <c r="AO211" s="18">
        <v>30203.670000000009</v>
      </c>
      <c r="AP211" s="18"/>
      <c r="AQ211" s="18">
        <v>5028</v>
      </c>
      <c r="AR211" s="18"/>
      <c r="AS211" s="18"/>
      <c r="AT211" s="18"/>
      <c r="AU211" s="18"/>
      <c r="AV211" s="19">
        <f t="shared" si="8"/>
        <v>109659.87000000001</v>
      </c>
    </row>
    <row r="212" spans="1:48" x14ac:dyDescent="0.35">
      <c r="A212" s="27"/>
      <c r="B212" s="18" t="s">
        <v>13</v>
      </c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9">
        <f t="shared" si="8"/>
        <v>0</v>
      </c>
    </row>
    <row r="213" spans="1:48" x14ac:dyDescent="0.35">
      <c r="A213" s="27"/>
      <c r="B213" s="18" t="s">
        <v>103</v>
      </c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>
        <v>1217.3999999999999</v>
      </c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9">
        <f t="shared" si="8"/>
        <v>1217.3999999999999</v>
      </c>
    </row>
    <row r="214" spans="1:48" x14ac:dyDescent="0.35">
      <c r="A214" s="27"/>
      <c r="B214" s="18" t="s">
        <v>92</v>
      </c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9">
        <f t="shared" si="8"/>
        <v>0</v>
      </c>
    </row>
    <row r="215" spans="1:48" x14ac:dyDescent="0.35">
      <c r="A215" s="27"/>
      <c r="B215" s="18" t="s">
        <v>27</v>
      </c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>
        <v>2886.0400000000004</v>
      </c>
      <c r="N215" s="18"/>
      <c r="O215" s="18"/>
      <c r="P215" s="18"/>
      <c r="Q215" s="18"/>
      <c r="R215" s="18"/>
      <c r="S215" s="18"/>
      <c r="T215" s="18">
        <v>304.34999999999997</v>
      </c>
      <c r="U215" s="18"/>
      <c r="V215" s="18"/>
      <c r="W215" s="18"/>
      <c r="X215" s="18"/>
      <c r="Y215" s="18"/>
      <c r="Z215" s="18">
        <v>4477.5</v>
      </c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9">
        <f t="shared" si="8"/>
        <v>7667.89</v>
      </c>
    </row>
    <row r="216" spans="1:48" x14ac:dyDescent="0.35">
      <c r="A216" s="27"/>
      <c r="B216" s="18" t="s">
        <v>22</v>
      </c>
      <c r="C216" s="18"/>
      <c r="D216" s="18"/>
      <c r="E216" s="18"/>
      <c r="F216" s="18"/>
      <c r="G216" s="18">
        <v>5956.41</v>
      </c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>
        <v>172.5</v>
      </c>
      <c r="W216" s="18"/>
      <c r="X216" s="18"/>
      <c r="Y216" s="18"/>
      <c r="Z216" s="18"/>
      <c r="AA216" s="18"/>
      <c r="AB216" s="18"/>
      <c r="AC216" s="18"/>
      <c r="AD216" s="18"/>
      <c r="AE216" s="18"/>
      <c r="AF216" s="18">
        <v>0</v>
      </c>
      <c r="AG216" s="18"/>
      <c r="AH216" s="18"/>
      <c r="AI216" s="18"/>
      <c r="AJ216" s="18">
        <v>810</v>
      </c>
      <c r="AK216" s="18">
        <v>403</v>
      </c>
      <c r="AL216" s="18"/>
      <c r="AM216" s="18"/>
      <c r="AN216" s="18"/>
      <c r="AO216" s="18">
        <v>2790.0749999999998</v>
      </c>
      <c r="AP216" s="18"/>
      <c r="AQ216" s="18"/>
      <c r="AR216" s="18"/>
      <c r="AS216" s="18"/>
      <c r="AT216" s="18"/>
      <c r="AU216" s="18"/>
      <c r="AV216" s="19">
        <f t="shared" si="8"/>
        <v>10131.985000000001</v>
      </c>
    </row>
    <row r="217" spans="1:48" x14ac:dyDescent="0.35">
      <c r="A217" s="27"/>
      <c r="B217" s="18" t="s">
        <v>17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>
        <v>3796.9499999999994</v>
      </c>
      <c r="AL217" s="18">
        <v>1100.625</v>
      </c>
      <c r="AM217" s="18"/>
      <c r="AN217" s="18"/>
      <c r="AO217" s="18">
        <v>1100.625</v>
      </c>
      <c r="AP217" s="18"/>
      <c r="AQ217" s="18"/>
      <c r="AR217" s="18"/>
      <c r="AS217" s="18"/>
      <c r="AT217" s="18"/>
      <c r="AU217" s="18"/>
      <c r="AV217" s="19">
        <f t="shared" si="8"/>
        <v>5998.1999999999989</v>
      </c>
    </row>
    <row r="218" spans="1:48" x14ac:dyDescent="0.35">
      <c r="A218" s="27"/>
      <c r="B218" s="21" t="s">
        <v>18</v>
      </c>
      <c r="C218" s="21">
        <f>SUBTOTAL(109,Table27[3D Recruitment])</f>
        <v>0</v>
      </c>
      <c r="D218" s="21">
        <f>SUBTOTAL(109,Table27[App Locum])</f>
        <v>0</v>
      </c>
      <c r="E218" s="21">
        <f>SUBTOTAL(109,Table27[Athona])</f>
        <v>4756.7200000000012</v>
      </c>
      <c r="F218" s="21">
        <f>SUBTOTAL(109,Table27[Beacon])</f>
        <v>0</v>
      </c>
      <c r="G218" s="21">
        <f>SUBTOTAL(109,Table27[Biggs Healthcare])</f>
        <v>5956.41</v>
      </c>
      <c r="H218" s="21">
        <f>SUBTOTAL(109,Table27[Care Solutions])</f>
        <v>0</v>
      </c>
      <c r="I218" s="21">
        <f>SUBTOTAL(109,Table27[CES Locums])</f>
        <v>5028</v>
      </c>
      <c r="J218" s="21">
        <f>SUBTOTAL(109,Table27[Chase Medical])</f>
        <v>0</v>
      </c>
      <c r="K218" s="21">
        <f>SUBTOTAL(109,Table27[Day Webster])</f>
        <v>0</v>
      </c>
      <c r="L218" s="21">
        <f>SUBTOTAL(109,Table27[DRC Locums])</f>
        <v>0</v>
      </c>
      <c r="M218" s="21">
        <f>SUBTOTAL(109,Table27[Enviva Care])</f>
        <v>2886.0400000000004</v>
      </c>
      <c r="N218" s="21">
        <f>SUBTOTAL(109,Table27[HCL])</f>
        <v>5028</v>
      </c>
      <c r="O218" s="21">
        <f>SUBTOTAL(109,Table27[Hourglass])</f>
        <v>0</v>
      </c>
      <c r="P218" s="21">
        <f>SUBTOTAL(109,Table27[Hunter Mental Health])</f>
        <v>0</v>
      </c>
      <c r="Q218" s="21">
        <f>SUBTOTAL(109,Table27[ID Medical])</f>
        <v>0</v>
      </c>
      <c r="R218" s="21">
        <f>SUBTOTAL(109,Table27[IMC LOCUMS])</f>
        <v>0</v>
      </c>
      <c r="S218" s="21">
        <f>SUBTOTAL(109,Table27[Locummeds])</f>
        <v>6800</v>
      </c>
      <c r="T218" s="21">
        <f>SUBTOTAL(109,Table27[Maxxima Ltd t/a Labmed Recruitment])</f>
        <v>1521.7499999999998</v>
      </c>
      <c r="U218" s="21">
        <f>SUBTOTAL(109,Table27[Medicare Health Professional])</f>
        <v>10260</v>
      </c>
      <c r="V218" s="21">
        <f>SUBTOTAL(109,Table27[Medicure Professional LTD])</f>
        <v>6922.5</v>
      </c>
      <c r="W218" s="21">
        <f>SUBTOTAL(109,Table27[Medilink])</f>
        <v>0</v>
      </c>
      <c r="X218" s="21">
        <f>SUBTOTAL(109,Table27[Medsol Healthcare Services Ltd])</f>
        <v>0</v>
      </c>
      <c r="Y218" s="21">
        <f>SUBTOTAL(109,Table27[MHP])</f>
        <v>17727</v>
      </c>
      <c r="Z218" s="21">
        <f>SUBTOTAL(109,Table27[MSI Recruitment])</f>
        <v>52714.819999999992</v>
      </c>
      <c r="AA218" s="21">
        <f>SUBTOTAL(109,Table27[MSU])</f>
        <v>0</v>
      </c>
      <c r="AB218" s="21">
        <f>SUBTOTAL(109,Table27[NURSING 2000])</f>
        <v>3298.4250000000011</v>
      </c>
      <c r="AC218" s="21">
        <f>SUBTOTAL(109,Table27[P E Global Healthcare])</f>
        <v>0</v>
      </c>
      <c r="AD218" s="21">
        <f>SUBTOTAL(109,Table27[PerTemps])</f>
        <v>0</v>
      </c>
      <c r="AE218" s="21">
        <f>SUBTOTAL(109,Table27[PSL RECRUITMENT])</f>
        <v>0</v>
      </c>
      <c r="AF218" s="21">
        <f>SUBTOTAL(109,Table27[Pulse])</f>
        <v>0</v>
      </c>
      <c r="AG218" s="21">
        <f>SUBTOTAL(109,Table27[Redspot Care Ltd])</f>
        <v>0</v>
      </c>
      <c r="AH218" s="21">
        <f>SUBTOTAL(109,Table27[Sanctuary])</f>
        <v>6060.75</v>
      </c>
      <c r="AI218" s="21">
        <f>SUBTOTAL(109,Table27[Sensible Staffing])</f>
        <v>8959.4999999999964</v>
      </c>
      <c r="AJ218" s="21">
        <f>SUBTOTAL(109,Table27[Service Care Solutions])</f>
        <v>4252.5</v>
      </c>
      <c r="AK218" s="21">
        <f>SUBTOTAL(109,Table27[Seven Resoucing])</f>
        <v>5399.9499999999989</v>
      </c>
      <c r="AL218" s="21">
        <f>SUBTOTAL(109,Table27[Seven Social Care])</f>
        <v>1100.625</v>
      </c>
      <c r="AM218" s="21">
        <f>SUBTOTAL(109,Table27[TBC])</f>
        <v>5028</v>
      </c>
      <c r="AN218" s="21">
        <f>SUBTOTAL(109,Table27[The London Teaching Pool])</f>
        <v>0</v>
      </c>
      <c r="AO218" s="21">
        <f>SUBTOTAL(109,Table27[Tripod])</f>
        <v>34094.37000000001</v>
      </c>
      <c r="AP218" s="21">
        <f>SUBTOTAL(109,Table27[Unity Healthcare])</f>
        <v>0</v>
      </c>
      <c r="AQ218" s="21">
        <f>SUBTOTAL(109,Table27[West Meria])</f>
        <v>5028</v>
      </c>
      <c r="AR218" s="21">
        <f>SUBTOTAL(109,Table27[Your World])</f>
        <v>20324.844999999998</v>
      </c>
      <c r="AS218" s="21">
        <f>SUBTOTAL(109,Table27[Your World Healthcare])</f>
        <v>0</v>
      </c>
      <c r="AT218" s="21">
        <f>SUBTOTAL(109,Table27[Your World Nursing])</f>
        <v>0</v>
      </c>
      <c r="AU218" s="21">
        <f>SUBTOTAL(109,Table27[Your World Recruitment Ltd])</f>
        <v>0</v>
      </c>
      <c r="AV218" s="21">
        <f>SUBTOTAL(109,Table27[Grand Total])</f>
        <v>213148.20500000002</v>
      </c>
    </row>
    <row r="220" spans="1:48" x14ac:dyDescent="0.35">
      <c r="A220" s="26" t="s">
        <v>36</v>
      </c>
      <c r="B220" s="17" t="s">
        <v>39</v>
      </c>
      <c r="C220" s="17" t="s">
        <v>40</v>
      </c>
      <c r="D220" s="17" t="s">
        <v>41</v>
      </c>
      <c r="E220" s="17" t="s">
        <v>42</v>
      </c>
      <c r="F220" s="17" t="s">
        <v>43</v>
      </c>
      <c r="G220" s="17" t="s">
        <v>44</v>
      </c>
      <c r="H220" s="17" t="s">
        <v>45</v>
      </c>
      <c r="I220" s="17" t="s">
        <v>46</v>
      </c>
      <c r="J220" s="17" t="s">
        <v>47</v>
      </c>
      <c r="K220" s="17" t="s">
        <v>48</v>
      </c>
      <c r="L220" s="17" t="s">
        <v>49</v>
      </c>
      <c r="M220" s="17" t="s">
        <v>50</v>
      </c>
      <c r="N220" s="17" t="s">
        <v>51</v>
      </c>
      <c r="O220" s="17" t="s">
        <v>52</v>
      </c>
      <c r="P220" s="17" t="s">
        <v>53</v>
      </c>
      <c r="Q220" s="17" t="s">
        <v>54</v>
      </c>
      <c r="R220" s="17" t="s">
        <v>55</v>
      </c>
      <c r="S220" s="17" t="s">
        <v>56</v>
      </c>
      <c r="T220" s="17" t="s">
        <v>57</v>
      </c>
      <c r="U220" s="17" t="s">
        <v>58</v>
      </c>
      <c r="V220" s="17" t="s">
        <v>59</v>
      </c>
      <c r="W220" s="17" t="s">
        <v>60</v>
      </c>
      <c r="X220" s="17" t="s">
        <v>61</v>
      </c>
      <c r="Y220" s="17" t="s">
        <v>62</v>
      </c>
      <c r="Z220" s="17" t="s">
        <v>63</v>
      </c>
      <c r="AA220" s="17" t="s">
        <v>64</v>
      </c>
      <c r="AB220" s="17" t="s">
        <v>65</v>
      </c>
      <c r="AC220" s="17" t="s">
        <v>66</v>
      </c>
      <c r="AD220" s="17" t="s">
        <v>67</v>
      </c>
      <c r="AE220" s="17" t="s">
        <v>68</v>
      </c>
      <c r="AF220" s="17" t="s">
        <v>69</v>
      </c>
      <c r="AG220" s="17" t="s">
        <v>70</v>
      </c>
      <c r="AH220" s="17" t="s">
        <v>71</v>
      </c>
      <c r="AI220" s="17" t="s">
        <v>72</v>
      </c>
      <c r="AJ220" s="17" t="s">
        <v>73</v>
      </c>
      <c r="AK220" s="17" t="s">
        <v>74</v>
      </c>
      <c r="AL220" s="17" t="s">
        <v>75</v>
      </c>
      <c r="AM220" s="17" t="s">
        <v>76</v>
      </c>
      <c r="AN220" s="17" t="s">
        <v>77</v>
      </c>
      <c r="AO220" s="17" t="s">
        <v>78</v>
      </c>
      <c r="AP220" s="17" t="s">
        <v>79</v>
      </c>
      <c r="AQ220" s="17" t="s">
        <v>80</v>
      </c>
      <c r="AR220" s="17" t="s">
        <v>81</v>
      </c>
      <c r="AS220" s="17" t="s">
        <v>82</v>
      </c>
      <c r="AT220" s="17" t="s">
        <v>83</v>
      </c>
      <c r="AU220" s="17" t="s">
        <v>84</v>
      </c>
      <c r="AV220" s="16" t="s">
        <v>8</v>
      </c>
    </row>
    <row r="221" spans="1:48" x14ac:dyDescent="0.35">
      <c r="A221" s="27"/>
      <c r="B221" s="18" t="s">
        <v>95</v>
      </c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>
        <v>2472.75</v>
      </c>
      <c r="AS221" s="18"/>
      <c r="AT221" s="18"/>
      <c r="AU221" s="18"/>
      <c r="AV221" s="19">
        <f t="shared" ref="AV221:AV247" si="9">SUM(A221:AU221)</f>
        <v>2472.75</v>
      </c>
    </row>
    <row r="222" spans="1:48" x14ac:dyDescent="0.35">
      <c r="A222" s="27"/>
      <c r="B222" s="18" t="s">
        <v>85</v>
      </c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>
        <v>4800</v>
      </c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9">
        <f t="shared" si="9"/>
        <v>4800</v>
      </c>
    </row>
    <row r="223" spans="1:48" x14ac:dyDescent="0.35">
      <c r="A223" s="27"/>
      <c r="B223" s="18" t="s">
        <v>86</v>
      </c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>
        <v>341.70000000000005</v>
      </c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>
        <v>6050.3299999999981</v>
      </c>
      <c r="AS223" s="18"/>
      <c r="AT223" s="18"/>
      <c r="AU223" s="18"/>
      <c r="AV223" s="19">
        <f t="shared" si="9"/>
        <v>6392.0299999999979</v>
      </c>
    </row>
    <row r="224" spans="1:48" x14ac:dyDescent="0.35">
      <c r="A224" s="27"/>
      <c r="B224" s="18" t="s">
        <v>32</v>
      </c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>
        <v>4750</v>
      </c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9">
        <f t="shared" si="9"/>
        <v>4750</v>
      </c>
    </row>
    <row r="225" spans="1:48" x14ac:dyDescent="0.35">
      <c r="A225" s="27"/>
      <c r="B225" s="18" t="s">
        <v>10</v>
      </c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>
        <v>9749.9500000000007</v>
      </c>
      <c r="V225" s="18"/>
      <c r="W225" s="18"/>
      <c r="X225" s="18"/>
      <c r="Y225" s="18">
        <v>5368.71</v>
      </c>
      <c r="Z225" s="18">
        <v>13823.940000000008</v>
      </c>
      <c r="AA225" s="18"/>
      <c r="AB225" s="18">
        <v>3350.1650000000009</v>
      </c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9">
        <f t="shared" si="9"/>
        <v>32292.765000000007</v>
      </c>
    </row>
    <row r="226" spans="1:48" x14ac:dyDescent="0.35">
      <c r="A226" s="27"/>
      <c r="B226" s="18" t="s">
        <v>102</v>
      </c>
      <c r="C226" s="18"/>
      <c r="D226" s="18"/>
      <c r="E226" s="18">
        <v>4338.9000000000015</v>
      </c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>
        <v>2206.8000000000002</v>
      </c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>
        <v>5004.5999999999995</v>
      </c>
      <c r="AS226" s="18"/>
      <c r="AT226" s="18"/>
      <c r="AU226" s="18"/>
      <c r="AV226" s="19">
        <f t="shared" si="9"/>
        <v>11550.300000000001</v>
      </c>
    </row>
    <row r="227" spans="1:48" x14ac:dyDescent="0.35">
      <c r="A227" s="27"/>
      <c r="B227" s="18" t="s">
        <v>11</v>
      </c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>
        <v>9527</v>
      </c>
      <c r="X227" s="18"/>
      <c r="Y227" s="18"/>
      <c r="Z227" s="18">
        <v>64236.084999999963</v>
      </c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>
        <v>85658.75</v>
      </c>
      <c r="AQ227" s="18"/>
      <c r="AR227" s="18">
        <v>12891.117999999989</v>
      </c>
      <c r="AS227" s="18"/>
      <c r="AT227" s="18">
        <v>25386.835000000006</v>
      </c>
      <c r="AU227" s="18">
        <v>6784.53</v>
      </c>
      <c r="AV227" s="19">
        <f t="shared" si="9"/>
        <v>204484.31799999994</v>
      </c>
    </row>
    <row r="228" spans="1:48" x14ac:dyDescent="0.35">
      <c r="A228" s="27"/>
      <c r="B228" s="18" t="s">
        <v>98</v>
      </c>
      <c r="C228" s="18"/>
      <c r="D228" s="18"/>
      <c r="E228" s="18"/>
      <c r="F228" s="18"/>
      <c r="G228" s="18"/>
      <c r="H228" s="18"/>
      <c r="I228" s="18"/>
      <c r="J228" s="18"/>
      <c r="K228" s="18"/>
      <c r="L228" s="18">
        <v>2550</v>
      </c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>
        <v>2539.92</v>
      </c>
      <c r="AS228" s="18"/>
      <c r="AT228" s="18"/>
      <c r="AU228" s="18"/>
      <c r="AV228" s="19">
        <f t="shared" si="9"/>
        <v>5089.92</v>
      </c>
    </row>
    <row r="229" spans="1:48" x14ac:dyDescent="0.35">
      <c r="A229" s="27"/>
      <c r="B229" s="18" t="s">
        <v>99</v>
      </c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>
        <v>1638.42</v>
      </c>
      <c r="AF229" s="18">
        <v>3921.7500000000009</v>
      </c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9">
        <f t="shared" si="9"/>
        <v>5560.170000000001</v>
      </c>
    </row>
    <row r="230" spans="1:48" x14ac:dyDescent="0.35">
      <c r="A230" s="27"/>
      <c r="B230" s="18" t="s">
        <v>12</v>
      </c>
      <c r="C230" s="18"/>
      <c r="D230" s="18"/>
      <c r="E230" s="18"/>
      <c r="F230" s="18"/>
      <c r="G230" s="18">
        <v>1821</v>
      </c>
      <c r="H230" s="18">
        <v>1462.5</v>
      </c>
      <c r="I230" s="18">
        <v>8556.9750000000022</v>
      </c>
      <c r="J230" s="18"/>
      <c r="K230" s="18"/>
      <c r="L230" s="18"/>
      <c r="M230" s="18"/>
      <c r="N230" s="18">
        <v>8556.9750000000022</v>
      </c>
      <c r="O230" s="18"/>
      <c r="P230" s="18"/>
      <c r="Q230" s="18"/>
      <c r="R230" s="18"/>
      <c r="S230" s="18"/>
      <c r="T230" s="18"/>
      <c r="U230" s="18"/>
      <c r="V230" s="18">
        <v>4950</v>
      </c>
      <c r="W230" s="18"/>
      <c r="X230" s="18"/>
      <c r="Y230" s="18"/>
      <c r="Z230" s="18">
        <v>38212.40999999996</v>
      </c>
      <c r="AA230" s="18">
        <v>787.05</v>
      </c>
      <c r="AB230" s="18"/>
      <c r="AC230" s="18"/>
      <c r="AD230" s="18">
        <v>4200</v>
      </c>
      <c r="AE230" s="18"/>
      <c r="AF230" s="18"/>
      <c r="AG230" s="18"/>
      <c r="AH230" s="18">
        <v>12042.975</v>
      </c>
      <c r="AI230" s="18">
        <v>15215.850000000009</v>
      </c>
      <c r="AJ230" s="18">
        <v>2835</v>
      </c>
      <c r="AK230" s="18">
        <v>1470</v>
      </c>
      <c r="AL230" s="18"/>
      <c r="AM230" s="18">
        <v>8556.9750000000022</v>
      </c>
      <c r="AN230" s="18"/>
      <c r="AO230" s="18">
        <v>28730.320000000003</v>
      </c>
      <c r="AP230" s="18"/>
      <c r="AQ230" s="18">
        <v>8556.9750000000022</v>
      </c>
      <c r="AR230" s="18"/>
      <c r="AS230" s="18"/>
      <c r="AT230" s="18"/>
      <c r="AU230" s="18"/>
      <c r="AV230" s="19">
        <f t="shared" si="9"/>
        <v>145955.005</v>
      </c>
    </row>
    <row r="231" spans="1:48" x14ac:dyDescent="0.35">
      <c r="A231" s="27"/>
      <c r="B231" s="18" t="s">
        <v>104</v>
      </c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9">
        <f t="shared" si="9"/>
        <v>0</v>
      </c>
    </row>
    <row r="232" spans="1:48" x14ac:dyDescent="0.35">
      <c r="A232" s="27"/>
      <c r="B232" s="18" t="s">
        <v>105</v>
      </c>
      <c r="C232" s="18"/>
      <c r="D232" s="18"/>
      <c r="E232" s="18"/>
      <c r="F232" s="18"/>
      <c r="G232" s="18">
        <v>247.25</v>
      </c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9">
        <f t="shared" si="9"/>
        <v>247.25</v>
      </c>
    </row>
    <row r="233" spans="1:48" x14ac:dyDescent="0.35">
      <c r="A233" s="27"/>
      <c r="B233" s="18" t="s">
        <v>13</v>
      </c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9">
        <f t="shared" si="9"/>
        <v>0</v>
      </c>
    </row>
    <row r="234" spans="1:48" x14ac:dyDescent="0.35">
      <c r="A234" s="27"/>
      <c r="B234" s="18" t="s">
        <v>106</v>
      </c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9">
        <f t="shared" si="9"/>
        <v>0</v>
      </c>
    </row>
    <row r="235" spans="1:48" x14ac:dyDescent="0.35">
      <c r="A235" s="27"/>
      <c r="B235" s="18" t="s">
        <v>103</v>
      </c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>
        <v>1744.94</v>
      </c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9">
        <f t="shared" si="9"/>
        <v>1744.94</v>
      </c>
    </row>
    <row r="236" spans="1:48" x14ac:dyDescent="0.35">
      <c r="A236" s="27"/>
      <c r="B236" s="18" t="s">
        <v>14</v>
      </c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>
        <v>1828.0649999999998</v>
      </c>
      <c r="R236" s="18"/>
      <c r="S236" s="18"/>
      <c r="T236" s="18"/>
      <c r="U236" s="18"/>
      <c r="V236" s="18"/>
      <c r="W236" s="18"/>
      <c r="X236" s="18"/>
      <c r="Y236" s="18"/>
      <c r="Z236" s="18">
        <v>5017.4549999999999</v>
      </c>
      <c r="AA236" s="18"/>
      <c r="AB236" s="18"/>
      <c r="AC236" s="18"/>
      <c r="AD236" s="18"/>
      <c r="AE236" s="18"/>
      <c r="AF236" s="18">
        <v>22818.39999999998</v>
      </c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>
        <v>2781.8049999999998</v>
      </c>
      <c r="AS236" s="18"/>
      <c r="AT236" s="18"/>
      <c r="AU236" s="18"/>
      <c r="AV236" s="19">
        <f t="shared" si="9"/>
        <v>32445.72499999998</v>
      </c>
    </row>
    <row r="237" spans="1:48" x14ac:dyDescent="0.35">
      <c r="A237" s="27"/>
      <c r="B237" s="18" t="s">
        <v>90</v>
      </c>
      <c r="C237" s="18"/>
      <c r="D237" s="18"/>
      <c r="E237" s="18"/>
      <c r="F237" s="18"/>
      <c r="G237" s="18">
        <v>172.5</v>
      </c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>
        <v>2910.5800000000004</v>
      </c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>
        <v>2023.3399999999997</v>
      </c>
      <c r="AS237" s="18"/>
      <c r="AT237" s="18"/>
      <c r="AU237" s="18"/>
      <c r="AV237" s="19">
        <f t="shared" si="9"/>
        <v>5106.42</v>
      </c>
    </row>
    <row r="238" spans="1:48" x14ac:dyDescent="0.35">
      <c r="A238" s="27"/>
      <c r="B238" s="18" t="s">
        <v>26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>
        <v>2156</v>
      </c>
      <c r="AA238" s="18"/>
      <c r="AB238" s="18"/>
      <c r="AC238" s="18"/>
      <c r="AD238" s="18"/>
      <c r="AE238" s="18"/>
      <c r="AF238" s="18">
        <v>11526.528999999999</v>
      </c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>
        <v>2605.0500000000002</v>
      </c>
      <c r="AS238" s="18"/>
      <c r="AT238" s="18"/>
      <c r="AU238" s="18"/>
      <c r="AV238" s="19">
        <f t="shared" si="9"/>
        <v>16287.578999999998</v>
      </c>
    </row>
    <row r="239" spans="1:48" x14ac:dyDescent="0.35">
      <c r="A239" s="27"/>
      <c r="B239" s="18" t="s">
        <v>91</v>
      </c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>
        <v>1401</v>
      </c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9">
        <f t="shared" si="9"/>
        <v>1401</v>
      </c>
    </row>
    <row r="240" spans="1:48" x14ac:dyDescent="0.35">
      <c r="A240" s="27"/>
      <c r="B240" s="18" t="s">
        <v>101</v>
      </c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>
        <v>933.6</v>
      </c>
      <c r="AT240" s="18"/>
      <c r="AU240" s="18"/>
      <c r="AV240" s="19">
        <f t="shared" si="9"/>
        <v>933.6</v>
      </c>
    </row>
    <row r="241" spans="1:48" x14ac:dyDescent="0.35">
      <c r="A241" s="27"/>
      <c r="B241" s="18" t="s">
        <v>92</v>
      </c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9">
        <f t="shared" si="9"/>
        <v>0</v>
      </c>
    </row>
    <row r="242" spans="1:48" x14ac:dyDescent="0.35">
      <c r="A242" s="27"/>
      <c r="B242" s="18" t="s">
        <v>27</v>
      </c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>
        <v>1973.2950000000001</v>
      </c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>
        <v>7350</v>
      </c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9">
        <f t="shared" si="9"/>
        <v>9323.2950000000001</v>
      </c>
    </row>
    <row r="243" spans="1:48" x14ac:dyDescent="0.35">
      <c r="A243" s="27"/>
      <c r="B243" s="18" t="s">
        <v>107</v>
      </c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>
        <v>6750</v>
      </c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9">
        <f t="shared" si="9"/>
        <v>6750</v>
      </c>
    </row>
    <row r="244" spans="1:48" x14ac:dyDescent="0.35">
      <c r="A244" s="27"/>
      <c r="B244" s="18" t="s">
        <v>108</v>
      </c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>
        <v>400.2</v>
      </c>
      <c r="AP244" s="18"/>
      <c r="AQ244" s="18"/>
      <c r="AR244" s="18"/>
      <c r="AS244" s="18"/>
      <c r="AT244" s="18"/>
      <c r="AU244" s="18"/>
      <c r="AV244" s="19">
        <f t="shared" si="9"/>
        <v>400.2</v>
      </c>
    </row>
    <row r="245" spans="1:48" x14ac:dyDescent="0.35">
      <c r="A245" s="27"/>
      <c r="B245" s="18" t="s">
        <v>22</v>
      </c>
      <c r="C245" s="18"/>
      <c r="D245" s="18"/>
      <c r="E245" s="18"/>
      <c r="F245" s="18"/>
      <c r="G245" s="18">
        <v>264.5</v>
      </c>
      <c r="H245" s="18"/>
      <c r="I245" s="18"/>
      <c r="J245" s="18"/>
      <c r="K245" s="18"/>
      <c r="L245" s="18"/>
      <c r="M245" s="18"/>
      <c r="N245" s="18"/>
      <c r="O245" s="18">
        <v>0</v>
      </c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>
        <v>1221</v>
      </c>
      <c r="AA245" s="18"/>
      <c r="AB245" s="18"/>
      <c r="AC245" s="18"/>
      <c r="AD245" s="18">
        <v>1750</v>
      </c>
      <c r="AE245" s="18"/>
      <c r="AF245" s="18"/>
      <c r="AG245" s="18"/>
      <c r="AH245" s="18"/>
      <c r="AI245" s="18"/>
      <c r="AJ245" s="18"/>
      <c r="AK245" s="18">
        <v>2423</v>
      </c>
      <c r="AL245" s="18"/>
      <c r="AM245" s="18"/>
      <c r="AN245" s="18"/>
      <c r="AO245" s="18">
        <v>2887.7999999999997</v>
      </c>
      <c r="AP245" s="18"/>
      <c r="AQ245" s="18"/>
      <c r="AR245" s="18"/>
      <c r="AS245" s="18"/>
      <c r="AT245" s="18"/>
      <c r="AU245" s="18"/>
      <c r="AV245" s="19">
        <f t="shared" si="9"/>
        <v>8546.2999999999993</v>
      </c>
    </row>
    <row r="246" spans="1:48" x14ac:dyDescent="0.35">
      <c r="A246" s="27"/>
      <c r="B246" s="18" t="s">
        <v>17</v>
      </c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>
        <v>1563.45</v>
      </c>
      <c r="AL246" s="18">
        <v>2421.375</v>
      </c>
      <c r="AM246" s="18"/>
      <c r="AN246" s="18"/>
      <c r="AO246" s="18">
        <v>2201.25</v>
      </c>
      <c r="AP246" s="18"/>
      <c r="AQ246" s="18"/>
      <c r="AR246" s="18"/>
      <c r="AS246" s="18"/>
      <c r="AT246" s="18"/>
      <c r="AU246" s="18"/>
      <c r="AV246" s="19">
        <f t="shared" si="9"/>
        <v>6186.0749999999998</v>
      </c>
    </row>
    <row r="247" spans="1:48" x14ac:dyDescent="0.35">
      <c r="A247" s="27"/>
      <c r="B247" s="18" t="s">
        <v>93</v>
      </c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>
        <v>4160.79</v>
      </c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>
        <v>1704.4200000000003</v>
      </c>
      <c r="AS247" s="18"/>
      <c r="AT247" s="18"/>
      <c r="AU247" s="18"/>
      <c r="AV247" s="19">
        <f t="shared" si="9"/>
        <v>5865.21</v>
      </c>
    </row>
    <row r="248" spans="1:48" x14ac:dyDescent="0.35">
      <c r="A248" s="27"/>
      <c r="B248" s="20" t="s">
        <v>18</v>
      </c>
      <c r="C248" s="20">
        <f>SUBTOTAL(109,Table26[3D Recruitment])</f>
        <v>0</v>
      </c>
      <c r="D248" s="20">
        <f>SUBTOTAL(109,Table26[App Locum])</f>
        <v>0</v>
      </c>
      <c r="E248" s="20">
        <f>SUBTOTAL(109,Table26[Athona])</f>
        <v>4338.9000000000015</v>
      </c>
      <c r="F248" s="20">
        <f>SUBTOTAL(109,Table26[Beacon])</f>
        <v>0</v>
      </c>
      <c r="G248" s="20">
        <f>SUBTOTAL(109,Table26[Biggs Healthcare])</f>
        <v>2505.25</v>
      </c>
      <c r="H248" s="20">
        <f>SUBTOTAL(109,Table26[Care Solutions])</f>
        <v>1462.5</v>
      </c>
      <c r="I248" s="20">
        <f>SUBTOTAL(109,Table26[CES Locums])</f>
        <v>8556.9750000000022</v>
      </c>
      <c r="J248" s="20">
        <f>SUBTOTAL(109,Table26[Chase Medical])</f>
        <v>0</v>
      </c>
      <c r="K248" s="20">
        <f>SUBTOTAL(109,Table26[Day Webster])</f>
        <v>0</v>
      </c>
      <c r="L248" s="20">
        <f>SUBTOTAL(109,Table26[DRC Locums])</f>
        <v>2550</v>
      </c>
      <c r="M248" s="20">
        <f>SUBTOTAL(109,Table26[Enviva Care])</f>
        <v>1973.2950000000001</v>
      </c>
      <c r="N248" s="20">
        <f>SUBTOTAL(109,Table26[HCL])</f>
        <v>8556.9750000000022</v>
      </c>
      <c r="O248" s="20">
        <f>SUBTOTAL(109,Table26[Hourglass])</f>
        <v>0</v>
      </c>
      <c r="P248" s="20">
        <f>SUBTOTAL(109,Table26[Hunter Mental Health])</f>
        <v>0</v>
      </c>
      <c r="Q248" s="20">
        <f>SUBTOTAL(109,Table26[ID Medical])</f>
        <v>1828.0649999999998</v>
      </c>
      <c r="R248" s="20">
        <f>SUBTOTAL(109,Table26[IMC LOCUMS])</f>
        <v>0</v>
      </c>
      <c r="S248" s="20">
        <f>SUBTOTAL(109,Table26[Locummeds])</f>
        <v>4800</v>
      </c>
      <c r="T248" s="20">
        <f>SUBTOTAL(109,Table26[Maxxima Ltd t/a Labmed Recruitment])</f>
        <v>1744.94</v>
      </c>
      <c r="U248" s="20">
        <f>SUBTOTAL(109,Table26[Medicare Health Professional])</f>
        <v>9749.9500000000007</v>
      </c>
      <c r="V248" s="20">
        <f>SUBTOTAL(109,Table26[Medicure Professional LTD])</f>
        <v>4950</v>
      </c>
      <c r="W248" s="20">
        <f>SUBTOTAL(109,Table26[Medilink])</f>
        <v>9527</v>
      </c>
      <c r="X248" s="20">
        <f>SUBTOTAL(109,Table26[Medsol Healthcare Services Ltd])</f>
        <v>0</v>
      </c>
      <c r="Y248" s="20">
        <f>SUBTOTAL(109,Table26[MHP])</f>
        <v>10118.709999999999</v>
      </c>
      <c r="Z248" s="20">
        <f>SUBTOTAL(109,Table26[MSI Recruitment])</f>
        <v>134565.38999999993</v>
      </c>
      <c r="AA248" s="20">
        <f>SUBTOTAL(109,Table26[MSU])</f>
        <v>787.05</v>
      </c>
      <c r="AB248" s="20">
        <f>SUBTOTAL(109,Table26[NURSING 2000])</f>
        <v>3350.1650000000009</v>
      </c>
      <c r="AC248" s="20">
        <f>SUBTOTAL(109,Table26[P E Global Healthcare])</f>
        <v>0</v>
      </c>
      <c r="AD248" s="20">
        <f>SUBTOTAL(109,Table26[PerTemps])</f>
        <v>5950</v>
      </c>
      <c r="AE248" s="20">
        <f>SUBTOTAL(109,Table26[PSL RECRUITMENT])</f>
        <v>1638.42</v>
      </c>
      <c r="AF248" s="20">
        <f>SUBTOTAL(109,Table26[Pulse])</f>
        <v>53489.048999999977</v>
      </c>
      <c r="AG248" s="20">
        <f>SUBTOTAL(109,Table26[Redspot Care Ltd])</f>
        <v>0</v>
      </c>
      <c r="AH248" s="20">
        <f>SUBTOTAL(109,Table26[Sanctuary])</f>
        <v>12042.975</v>
      </c>
      <c r="AI248" s="20">
        <f>SUBTOTAL(109,Table26[Sensible Staffing])</f>
        <v>15215.850000000009</v>
      </c>
      <c r="AJ248" s="20">
        <f>SUBTOTAL(109,Table26[Service Care Solutions])</f>
        <v>2835</v>
      </c>
      <c r="AK248" s="20">
        <f>SUBTOTAL(109,Table26[Seven Resoucing])</f>
        <v>5456.45</v>
      </c>
      <c r="AL248" s="20">
        <f>SUBTOTAL(109,Table26[Seven Social Care])</f>
        <v>2421.375</v>
      </c>
      <c r="AM248" s="20">
        <f>SUBTOTAL(109,Table26[TBC])</f>
        <v>8556.9750000000022</v>
      </c>
      <c r="AN248" s="20">
        <f>SUBTOTAL(109,Table26[The London Teaching Pool])</f>
        <v>0</v>
      </c>
      <c r="AO248" s="20">
        <f>SUBTOTAL(109,Table26[Tripod])</f>
        <v>34219.570000000007</v>
      </c>
      <c r="AP248" s="20">
        <f>SUBTOTAL(109,Table26[Unity Healthcare])</f>
        <v>85658.75</v>
      </c>
      <c r="AQ248" s="20">
        <f>SUBTOTAL(109,Table26[West Meria])</f>
        <v>8556.9750000000022</v>
      </c>
      <c r="AR248" s="20">
        <f>SUBTOTAL(109,Table26[Your World])</f>
        <v>38073.332999999984</v>
      </c>
      <c r="AS248" s="20">
        <f>SUBTOTAL(109,Table26[Your World Healthcare])</f>
        <v>933.6</v>
      </c>
      <c r="AT248" s="20">
        <f>SUBTOTAL(109,Table26[Your World Nursing])</f>
        <v>25386.835000000006</v>
      </c>
      <c r="AU248" s="20">
        <f>SUBTOTAL(109,Table26[Your World Recruitment Ltd])</f>
        <v>6784.53</v>
      </c>
      <c r="AV248" s="20">
        <f>SUBTOTAL(109,Table26[Grand Total])</f>
        <v>518584.8519999999</v>
      </c>
    </row>
    <row r="250" spans="1:48" x14ac:dyDescent="0.35">
      <c r="A250" s="26" t="s">
        <v>37</v>
      </c>
      <c r="B250" s="17" t="s">
        <v>39</v>
      </c>
      <c r="C250" s="17" t="s">
        <v>40</v>
      </c>
      <c r="D250" s="17" t="s">
        <v>41</v>
      </c>
      <c r="E250" s="17" t="s">
        <v>42</v>
      </c>
      <c r="F250" s="17" t="s">
        <v>43</v>
      </c>
      <c r="G250" s="17" t="s">
        <v>44</v>
      </c>
      <c r="H250" s="17" t="s">
        <v>45</v>
      </c>
      <c r="I250" s="17" t="s">
        <v>46</v>
      </c>
      <c r="J250" s="17" t="s">
        <v>47</v>
      </c>
      <c r="K250" s="17" t="s">
        <v>48</v>
      </c>
      <c r="L250" s="17" t="s">
        <v>49</v>
      </c>
      <c r="M250" s="17" t="s">
        <v>50</v>
      </c>
      <c r="N250" s="17" t="s">
        <v>51</v>
      </c>
      <c r="O250" s="17" t="s">
        <v>52</v>
      </c>
      <c r="P250" s="17" t="s">
        <v>53</v>
      </c>
      <c r="Q250" s="17" t="s">
        <v>54</v>
      </c>
      <c r="R250" s="17" t="s">
        <v>55</v>
      </c>
      <c r="S250" s="17" t="s">
        <v>56</v>
      </c>
      <c r="T250" s="17" t="s">
        <v>57</v>
      </c>
      <c r="U250" s="17" t="s">
        <v>58</v>
      </c>
      <c r="V250" s="17" t="s">
        <v>59</v>
      </c>
      <c r="W250" s="17" t="s">
        <v>60</v>
      </c>
      <c r="X250" s="17" t="s">
        <v>61</v>
      </c>
      <c r="Y250" s="17" t="s">
        <v>62</v>
      </c>
      <c r="Z250" s="17" t="s">
        <v>63</v>
      </c>
      <c r="AA250" s="17" t="s">
        <v>64</v>
      </c>
      <c r="AB250" s="17" t="s">
        <v>65</v>
      </c>
      <c r="AC250" s="17" t="s">
        <v>66</v>
      </c>
      <c r="AD250" s="17" t="s">
        <v>67</v>
      </c>
      <c r="AE250" s="17" t="s">
        <v>68</v>
      </c>
      <c r="AF250" s="17" t="s">
        <v>69</v>
      </c>
      <c r="AG250" s="17" t="s">
        <v>70</v>
      </c>
      <c r="AH250" s="17" t="s">
        <v>71</v>
      </c>
      <c r="AI250" s="17" t="s">
        <v>72</v>
      </c>
      <c r="AJ250" s="17" t="s">
        <v>73</v>
      </c>
      <c r="AK250" s="17" t="s">
        <v>74</v>
      </c>
      <c r="AL250" s="17" t="s">
        <v>75</v>
      </c>
      <c r="AM250" s="17" t="s">
        <v>76</v>
      </c>
      <c r="AN250" s="17" t="s">
        <v>77</v>
      </c>
      <c r="AO250" s="17" t="s">
        <v>78</v>
      </c>
      <c r="AP250" s="17" t="s">
        <v>79</v>
      </c>
      <c r="AQ250" s="17" t="s">
        <v>80</v>
      </c>
      <c r="AR250" s="17" t="s">
        <v>81</v>
      </c>
      <c r="AS250" s="17" t="s">
        <v>82</v>
      </c>
      <c r="AT250" s="17" t="s">
        <v>83</v>
      </c>
      <c r="AU250" s="17" t="s">
        <v>84</v>
      </c>
      <c r="AV250" s="16" t="s">
        <v>8</v>
      </c>
    </row>
    <row r="251" spans="1:48" x14ac:dyDescent="0.35">
      <c r="A251" s="27"/>
      <c r="B251" s="18" t="s">
        <v>95</v>
      </c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>
        <v>2060.625</v>
      </c>
      <c r="AS251" s="18"/>
      <c r="AT251" s="18"/>
      <c r="AU251" s="18"/>
      <c r="AV251" s="19">
        <f t="shared" ref="AV251:AV274" si="10">SUM(A251:AU251)</f>
        <v>2060.625</v>
      </c>
    </row>
    <row r="252" spans="1:48" x14ac:dyDescent="0.35">
      <c r="A252" s="27"/>
      <c r="B252" s="18" t="s">
        <v>85</v>
      </c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>
        <v>6800</v>
      </c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9">
        <f t="shared" si="10"/>
        <v>6800</v>
      </c>
    </row>
    <row r="253" spans="1:48" x14ac:dyDescent="0.35">
      <c r="A253" s="27"/>
      <c r="B253" s="18" t="s">
        <v>86</v>
      </c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>
        <v>4706.199999999998</v>
      </c>
      <c r="AS253" s="18"/>
      <c r="AT253" s="18"/>
      <c r="AU253" s="18"/>
      <c r="AV253" s="19">
        <f t="shared" si="10"/>
        <v>4706.199999999998</v>
      </c>
    </row>
    <row r="254" spans="1:48" x14ac:dyDescent="0.35">
      <c r="A254" s="27"/>
      <c r="B254" s="18" t="s">
        <v>32</v>
      </c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>
        <v>7163</v>
      </c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9">
        <f t="shared" si="10"/>
        <v>7163</v>
      </c>
    </row>
    <row r="255" spans="1:48" x14ac:dyDescent="0.35">
      <c r="A255" s="27"/>
      <c r="B255" s="18" t="s">
        <v>10</v>
      </c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>
        <v>10980</v>
      </c>
      <c r="V255" s="18"/>
      <c r="W255" s="18"/>
      <c r="X255" s="18"/>
      <c r="Y255" s="18">
        <v>5776</v>
      </c>
      <c r="Z255" s="18">
        <v>12640.224999999993</v>
      </c>
      <c r="AA255" s="18"/>
      <c r="AB255" s="18">
        <v>2664.6100000000006</v>
      </c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9">
        <f t="shared" si="10"/>
        <v>32060.834999999992</v>
      </c>
    </row>
    <row r="256" spans="1:48" x14ac:dyDescent="0.35">
      <c r="A256" s="27"/>
      <c r="B256" s="18" t="s">
        <v>102</v>
      </c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>
        <v>710.85</v>
      </c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>
        <v>5267.9999999999991</v>
      </c>
      <c r="AS256" s="18"/>
      <c r="AT256" s="18"/>
      <c r="AU256" s="18"/>
      <c r="AV256" s="19">
        <f t="shared" si="10"/>
        <v>5978.8499999999995</v>
      </c>
    </row>
    <row r="257" spans="1:48" x14ac:dyDescent="0.35">
      <c r="A257" s="27"/>
      <c r="B257" s="18" t="s">
        <v>11</v>
      </c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>
        <v>6972</v>
      </c>
      <c r="X257" s="18"/>
      <c r="Y257" s="18"/>
      <c r="Z257" s="18">
        <v>45744.700000000041</v>
      </c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>
        <v>57557.5</v>
      </c>
      <c r="AQ257" s="18"/>
      <c r="AR257" s="18">
        <v>5626.4799999999987</v>
      </c>
      <c r="AS257" s="18"/>
      <c r="AT257" s="18">
        <v>13749.765000000007</v>
      </c>
      <c r="AU257" s="18">
        <v>3551.33</v>
      </c>
      <c r="AV257" s="19">
        <f t="shared" si="10"/>
        <v>133201.77500000002</v>
      </c>
    </row>
    <row r="258" spans="1:48" x14ac:dyDescent="0.35">
      <c r="A258" s="27"/>
      <c r="B258" s="18" t="s">
        <v>98</v>
      </c>
      <c r="C258" s="18"/>
      <c r="D258" s="18"/>
      <c r="E258" s="18"/>
      <c r="F258" s="18"/>
      <c r="G258" s="18"/>
      <c r="H258" s="18"/>
      <c r="I258" s="18"/>
      <c r="J258" s="18"/>
      <c r="K258" s="18"/>
      <c r="L258" s="18">
        <v>4335</v>
      </c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>
        <v>4444.8599999999988</v>
      </c>
      <c r="AS258" s="18"/>
      <c r="AT258" s="18"/>
      <c r="AU258" s="18"/>
      <c r="AV258" s="19">
        <f t="shared" si="10"/>
        <v>8779.8599999999988</v>
      </c>
    </row>
    <row r="259" spans="1:48" x14ac:dyDescent="0.35">
      <c r="A259" s="27"/>
      <c r="B259" s="18" t="s">
        <v>99</v>
      </c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>
        <v>4897.83</v>
      </c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9">
        <f t="shared" si="10"/>
        <v>4897.83</v>
      </c>
    </row>
    <row r="260" spans="1:48" x14ac:dyDescent="0.35">
      <c r="A260" s="27"/>
      <c r="B260" s="18" t="s">
        <v>12</v>
      </c>
      <c r="C260" s="18"/>
      <c r="D260" s="18"/>
      <c r="E260" s="18"/>
      <c r="F260" s="18"/>
      <c r="G260" s="18"/>
      <c r="H260" s="18">
        <v>3847.5</v>
      </c>
      <c r="I260" s="18">
        <v>6276.6000000000022</v>
      </c>
      <c r="J260" s="18"/>
      <c r="K260" s="18"/>
      <c r="L260" s="18"/>
      <c r="M260" s="18"/>
      <c r="N260" s="18">
        <v>6276.6000000000022</v>
      </c>
      <c r="O260" s="18">
        <v>434.5</v>
      </c>
      <c r="P260" s="18"/>
      <c r="Q260" s="18"/>
      <c r="R260" s="18"/>
      <c r="S260" s="18"/>
      <c r="T260" s="18"/>
      <c r="U260" s="18"/>
      <c r="V260" s="18">
        <v>6075</v>
      </c>
      <c r="W260" s="18"/>
      <c r="X260" s="18"/>
      <c r="Y260" s="18"/>
      <c r="Z260" s="18">
        <v>36173.999999999971</v>
      </c>
      <c r="AA260" s="18">
        <v>1049.3999999999999</v>
      </c>
      <c r="AB260" s="18"/>
      <c r="AC260" s="18"/>
      <c r="AD260" s="18"/>
      <c r="AE260" s="18"/>
      <c r="AF260" s="18"/>
      <c r="AG260" s="18"/>
      <c r="AH260" s="18">
        <v>10171.800000000003</v>
      </c>
      <c r="AI260" s="18">
        <v>12738.900000000012</v>
      </c>
      <c r="AJ260" s="18"/>
      <c r="AK260" s="18">
        <v>446.70000000000005</v>
      </c>
      <c r="AL260" s="18"/>
      <c r="AM260" s="18">
        <v>6276.6000000000022</v>
      </c>
      <c r="AN260" s="18"/>
      <c r="AO260" s="18">
        <v>21081.142268041258</v>
      </c>
      <c r="AP260" s="18"/>
      <c r="AQ260" s="18">
        <v>6276.6000000000022</v>
      </c>
      <c r="AR260" s="18"/>
      <c r="AS260" s="18"/>
      <c r="AT260" s="18"/>
      <c r="AU260" s="18"/>
      <c r="AV260" s="19">
        <f t="shared" si="10"/>
        <v>117125.34226804125</v>
      </c>
    </row>
    <row r="261" spans="1:48" x14ac:dyDescent="0.35">
      <c r="A261" s="27"/>
      <c r="B261" s="18" t="s">
        <v>105</v>
      </c>
      <c r="C261" s="18"/>
      <c r="D261" s="18"/>
      <c r="E261" s="18"/>
      <c r="F261" s="18"/>
      <c r="G261" s="18">
        <v>2271.25</v>
      </c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9">
        <f t="shared" si="10"/>
        <v>2271.25</v>
      </c>
    </row>
    <row r="262" spans="1:48" x14ac:dyDescent="0.35">
      <c r="A262" s="27"/>
      <c r="B262" s="18" t="s">
        <v>109</v>
      </c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9">
        <f t="shared" si="10"/>
        <v>0</v>
      </c>
    </row>
    <row r="263" spans="1:48" x14ac:dyDescent="0.35">
      <c r="A263" s="27"/>
      <c r="B263" s="18" t="s">
        <v>14</v>
      </c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>
        <v>4951.3150000000005</v>
      </c>
      <c r="R263" s="18"/>
      <c r="S263" s="18"/>
      <c r="T263" s="18"/>
      <c r="U263" s="18"/>
      <c r="V263" s="18"/>
      <c r="W263" s="18"/>
      <c r="X263" s="18"/>
      <c r="Y263" s="18"/>
      <c r="Z263" s="18">
        <v>22366.424999999967</v>
      </c>
      <c r="AA263" s="18"/>
      <c r="AB263" s="18"/>
      <c r="AC263" s="18"/>
      <c r="AD263" s="18"/>
      <c r="AE263" s="18"/>
      <c r="AF263" s="18">
        <v>3046.7749999999996</v>
      </c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>
        <v>5069.3150000000005</v>
      </c>
      <c r="AS263" s="18"/>
      <c r="AT263" s="18"/>
      <c r="AU263" s="18"/>
      <c r="AV263" s="19">
        <f t="shared" si="10"/>
        <v>35433.829999999973</v>
      </c>
    </row>
    <row r="264" spans="1:48" x14ac:dyDescent="0.35">
      <c r="A264" s="27"/>
      <c r="B264" s="18" t="s">
        <v>90</v>
      </c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>
        <v>6210.6800000000012</v>
      </c>
      <c r="AS264" s="18"/>
      <c r="AT264" s="18"/>
      <c r="AU264" s="18"/>
      <c r="AV264" s="19">
        <f t="shared" si="10"/>
        <v>6210.6800000000012</v>
      </c>
    </row>
    <row r="265" spans="1:48" x14ac:dyDescent="0.35">
      <c r="A265" s="27"/>
      <c r="B265" s="18" t="s">
        <v>26</v>
      </c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>
        <v>2128</v>
      </c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>
        <v>3150.4949999999999</v>
      </c>
      <c r="AS265" s="18"/>
      <c r="AT265" s="18"/>
      <c r="AU265" s="18"/>
      <c r="AV265" s="19">
        <f t="shared" si="10"/>
        <v>5278.4949999999999</v>
      </c>
    </row>
    <row r="266" spans="1:48" x14ac:dyDescent="0.35">
      <c r="A266" s="27"/>
      <c r="B266" s="18" t="s">
        <v>92</v>
      </c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9">
        <f t="shared" si="10"/>
        <v>0</v>
      </c>
    </row>
    <row r="267" spans="1:48" x14ac:dyDescent="0.35">
      <c r="A267" s="27"/>
      <c r="B267" s="18" t="s">
        <v>27</v>
      </c>
      <c r="C267" s="18"/>
      <c r="D267" s="18"/>
      <c r="E267" s="18"/>
      <c r="F267" s="18"/>
      <c r="G267" s="18">
        <v>3054.33</v>
      </c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>
        <v>8812.5</v>
      </c>
      <c r="AA267" s="18">
        <v>262.34999999999997</v>
      </c>
      <c r="AB267" s="18"/>
      <c r="AC267" s="18"/>
      <c r="AD267" s="18">
        <v>4200</v>
      </c>
      <c r="AE267" s="18"/>
      <c r="AF267" s="18"/>
      <c r="AG267" s="18"/>
      <c r="AH267" s="18">
        <v>653.625</v>
      </c>
      <c r="AI267" s="18"/>
      <c r="AJ267" s="18"/>
      <c r="AK267" s="18">
        <v>5982.5</v>
      </c>
      <c r="AL267" s="18"/>
      <c r="AM267" s="18"/>
      <c r="AN267" s="18"/>
      <c r="AO267" s="18">
        <v>2496</v>
      </c>
      <c r="AP267" s="18"/>
      <c r="AQ267" s="18"/>
      <c r="AR267" s="18"/>
      <c r="AS267" s="18"/>
      <c r="AT267" s="18"/>
      <c r="AU267" s="18"/>
      <c r="AV267" s="19">
        <f t="shared" si="10"/>
        <v>25461.305</v>
      </c>
    </row>
    <row r="268" spans="1:48" x14ac:dyDescent="0.35">
      <c r="A268" s="27"/>
      <c r="B268" s="18" t="s">
        <v>110</v>
      </c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>
        <v>49.83</v>
      </c>
      <c r="AO268" s="18"/>
      <c r="AP268" s="18"/>
      <c r="AQ268" s="18"/>
      <c r="AR268" s="18"/>
      <c r="AS268" s="18"/>
      <c r="AT268" s="18"/>
      <c r="AU268" s="18"/>
      <c r="AV268" s="19">
        <f t="shared" si="10"/>
        <v>49.83</v>
      </c>
    </row>
    <row r="269" spans="1:48" x14ac:dyDescent="0.35">
      <c r="A269" s="27"/>
      <c r="B269" s="18" t="s">
        <v>111</v>
      </c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>
        <v>168.45000000000002</v>
      </c>
      <c r="AO269" s="18"/>
      <c r="AP269" s="18"/>
      <c r="AQ269" s="18"/>
      <c r="AR269" s="18"/>
      <c r="AS269" s="18"/>
      <c r="AT269" s="18"/>
      <c r="AU269" s="18"/>
      <c r="AV269" s="19">
        <f t="shared" si="10"/>
        <v>168.45000000000002</v>
      </c>
    </row>
    <row r="270" spans="1:48" x14ac:dyDescent="0.35">
      <c r="A270" s="27"/>
      <c r="B270" s="18" t="s">
        <v>112</v>
      </c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>
        <v>1985.0250000000003</v>
      </c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9">
        <f t="shared" si="10"/>
        <v>1985.0250000000003</v>
      </c>
    </row>
    <row r="271" spans="1:48" x14ac:dyDescent="0.35">
      <c r="A271" s="27"/>
      <c r="B271" s="18" t="s">
        <v>107</v>
      </c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>
        <v>3686.4749999999995</v>
      </c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9">
        <f t="shared" si="10"/>
        <v>3686.4749999999995</v>
      </c>
    </row>
    <row r="272" spans="1:48" x14ac:dyDescent="0.35">
      <c r="A272" s="27"/>
      <c r="B272" s="18" t="s">
        <v>22</v>
      </c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>
        <v>4517.25</v>
      </c>
      <c r="AJ272" s="18"/>
      <c r="AK272" s="18"/>
      <c r="AL272" s="18"/>
      <c r="AM272" s="18"/>
      <c r="AN272" s="18"/>
      <c r="AO272" s="18">
        <v>2079.1999999999998</v>
      </c>
      <c r="AP272" s="18"/>
      <c r="AQ272" s="18"/>
      <c r="AR272" s="18"/>
      <c r="AS272" s="18"/>
      <c r="AT272" s="18"/>
      <c r="AU272" s="18"/>
      <c r="AV272" s="19">
        <f t="shared" si="10"/>
        <v>6596.45</v>
      </c>
    </row>
    <row r="273" spans="1:48" x14ac:dyDescent="0.35">
      <c r="A273" s="27"/>
      <c r="B273" s="18" t="s">
        <v>17</v>
      </c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9">
        <f t="shared" si="10"/>
        <v>0</v>
      </c>
    </row>
    <row r="274" spans="1:48" x14ac:dyDescent="0.35">
      <c r="A274" s="27"/>
      <c r="B274" s="18" t="s">
        <v>93</v>
      </c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>
        <v>5146.6799999999994</v>
      </c>
      <c r="AS274" s="18"/>
      <c r="AT274" s="18"/>
      <c r="AU274" s="18"/>
      <c r="AV274" s="19">
        <f t="shared" si="10"/>
        <v>5146.6799999999994</v>
      </c>
    </row>
    <row r="275" spans="1:48" x14ac:dyDescent="0.35">
      <c r="A275" s="27"/>
      <c r="B275" s="21" t="s">
        <v>18</v>
      </c>
      <c r="C275" s="21">
        <f>SUBTOTAL(109,Table25[3D Recruitment])</f>
        <v>0</v>
      </c>
      <c r="D275" s="21">
        <f>SUBTOTAL(109,Table25[App Locum])</f>
        <v>0</v>
      </c>
      <c r="E275" s="21">
        <f>SUBTOTAL(109,Table25[Athona])</f>
        <v>0</v>
      </c>
      <c r="F275" s="21">
        <f>SUBTOTAL(109,Table25[Beacon])</f>
        <v>0</v>
      </c>
      <c r="G275" s="21">
        <f>SUBTOTAL(109,Table25[Biggs Healthcare])</f>
        <v>5325.58</v>
      </c>
      <c r="H275" s="21">
        <f>SUBTOTAL(109,Table25[Care Solutions])</f>
        <v>3847.5</v>
      </c>
      <c r="I275" s="21">
        <f>SUBTOTAL(109,Table25[CES Locums])</f>
        <v>6276.6000000000022</v>
      </c>
      <c r="J275" s="21">
        <f>SUBTOTAL(109,Table25[Chase Medical])</f>
        <v>0</v>
      </c>
      <c r="K275" s="21">
        <f>SUBTOTAL(109,Table25[Day Webster])</f>
        <v>0</v>
      </c>
      <c r="L275" s="21">
        <f>SUBTOTAL(109,Table25[DRC Locums])</f>
        <v>4335</v>
      </c>
      <c r="M275" s="21">
        <f>SUBTOTAL(109,Table25[Enviva Care])</f>
        <v>0</v>
      </c>
      <c r="N275" s="21">
        <f>SUBTOTAL(109,Table25[HCL])</f>
        <v>6276.6000000000022</v>
      </c>
      <c r="O275" s="21">
        <f>SUBTOTAL(109,Table25[Hourglass])</f>
        <v>434.5</v>
      </c>
      <c r="P275" s="21">
        <f>SUBTOTAL(109,Table25[Hunter Mental Health])</f>
        <v>0</v>
      </c>
      <c r="Q275" s="21">
        <f>SUBTOTAL(109,Table25[ID Medical])</f>
        <v>4951.3150000000005</v>
      </c>
      <c r="R275" s="21">
        <f>SUBTOTAL(109,Table25[IMC LOCUMS])</f>
        <v>0</v>
      </c>
      <c r="S275" s="21">
        <f>SUBTOTAL(109,Table25[Locummeds])</f>
        <v>6800</v>
      </c>
      <c r="T275" s="21">
        <f>SUBTOTAL(109,Table25[Maxxima Ltd t/a Labmed Recruitment])</f>
        <v>0</v>
      </c>
      <c r="U275" s="21">
        <f>SUBTOTAL(109,Table25[Medicare Health Professional])</f>
        <v>10980</v>
      </c>
      <c r="V275" s="21">
        <f>SUBTOTAL(109,Table25[Medicure Professional LTD])</f>
        <v>6075</v>
      </c>
      <c r="W275" s="21">
        <f>SUBTOTAL(109,Table25[Medilink])</f>
        <v>6972</v>
      </c>
      <c r="X275" s="21">
        <f>SUBTOTAL(109,Table25[Medsol Healthcare Services Ltd])</f>
        <v>0</v>
      </c>
      <c r="Y275" s="21">
        <f>SUBTOTAL(109,Table25[MHP])</f>
        <v>12939</v>
      </c>
      <c r="Z275" s="21">
        <f>SUBTOTAL(109,Table25[MSI Recruitment])</f>
        <v>134248.19999999998</v>
      </c>
      <c r="AA275" s="21">
        <f>SUBTOTAL(109,Table25[MSU])</f>
        <v>1311.7499999999998</v>
      </c>
      <c r="AB275" s="21">
        <f>SUBTOTAL(109,Table25[NURSING 2000])</f>
        <v>2664.6100000000006</v>
      </c>
      <c r="AC275" s="21">
        <f>SUBTOTAL(109,Table25[P E Global Healthcare])</f>
        <v>0</v>
      </c>
      <c r="AD275" s="21">
        <f>SUBTOTAL(109,Table25[PerTemps])</f>
        <v>4200</v>
      </c>
      <c r="AE275" s="21">
        <f>SUBTOTAL(109,Table25[App Locum])</f>
        <v>0</v>
      </c>
      <c r="AF275" s="21">
        <f>SUBTOTAL(109,Table25[Athona])</f>
        <v>0</v>
      </c>
      <c r="AG275" s="21">
        <f>SUBTOTAL(109,Table25[Beacon])</f>
        <v>0</v>
      </c>
      <c r="AH275" s="21">
        <f>SUBTOTAL(109,Table25[Biggs Healthcare])</f>
        <v>5325.58</v>
      </c>
      <c r="AI275" s="21">
        <f>SUBTOTAL(109,Table25[Care Solutions])</f>
        <v>3847.5</v>
      </c>
      <c r="AJ275" s="21">
        <f>SUBTOTAL(109,Table25[CES Locums])</f>
        <v>6276.6000000000022</v>
      </c>
      <c r="AK275" s="21">
        <f>SUBTOTAL(109,Table25[Chase Medical])</f>
        <v>0</v>
      </c>
      <c r="AL275" s="21">
        <f>SUBTOTAL(109,Table25[Day Webster])</f>
        <v>0</v>
      </c>
      <c r="AM275" s="21">
        <f>SUBTOTAL(109,Table25[DRC Locums])</f>
        <v>4335</v>
      </c>
      <c r="AN275" s="21">
        <f>SUBTOTAL(109,Table25[Enviva Care])</f>
        <v>0</v>
      </c>
      <c r="AO275" s="21">
        <f>SUBTOTAL(109,Table25[HCL])</f>
        <v>6276.6000000000022</v>
      </c>
      <c r="AP275" s="21">
        <f>SUBTOTAL(109,Table25[Hourglass])</f>
        <v>434.5</v>
      </c>
      <c r="AQ275" s="21">
        <f>SUBTOTAL(109,Table25[Hunter Mental Health])</f>
        <v>0</v>
      </c>
      <c r="AR275" s="21">
        <f>SUBTOTAL(109,Table25[ID Medical])</f>
        <v>4951.3150000000005</v>
      </c>
      <c r="AS275" s="21">
        <f>SUBTOTAL(109,Table25[IMC LOCUMS])</f>
        <v>0</v>
      </c>
      <c r="AT275" s="21">
        <f>SUBTOTAL(109,Table25[Locummeds])</f>
        <v>6800</v>
      </c>
      <c r="AU275" s="21">
        <f>SUBTOTAL(109,Table25[Maxxima Ltd t/a Labmed Recruitment])</f>
        <v>0</v>
      </c>
      <c r="AV275" s="21">
        <f>SUBTOTAL(109,Table25[Medicare Health Professional])</f>
        <v>10980</v>
      </c>
    </row>
    <row r="277" spans="1:48" x14ac:dyDescent="0.35">
      <c r="A277" s="26" t="s">
        <v>113</v>
      </c>
      <c r="B277" s="17" t="s">
        <v>39</v>
      </c>
      <c r="C277" s="17" t="s">
        <v>40</v>
      </c>
      <c r="D277" s="17" t="s">
        <v>41</v>
      </c>
      <c r="E277" s="17" t="s">
        <v>42</v>
      </c>
      <c r="F277" s="17" t="s">
        <v>43</v>
      </c>
      <c r="G277" s="17" t="s">
        <v>44</v>
      </c>
      <c r="H277" s="17" t="s">
        <v>45</v>
      </c>
      <c r="I277" s="17" t="s">
        <v>46</v>
      </c>
      <c r="J277" s="17" t="s">
        <v>47</v>
      </c>
      <c r="K277" s="17" t="s">
        <v>48</v>
      </c>
      <c r="L277" s="17" t="s">
        <v>49</v>
      </c>
      <c r="M277" s="17" t="s">
        <v>50</v>
      </c>
      <c r="N277" s="17" t="s">
        <v>51</v>
      </c>
      <c r="O277" s="17" t="s">
        <v>52</v>
      </c>
      <c r="P277" s="17" t="s">
        <v>53</v>
      </c>
      <c r="Q277" s="17" t="s">
        <v>54</v>
      </c>
      <c r="R277" s="17" t="s">
        <v>55</v>
      </c>
      <c r="S277" s="17" t="s">
        <v>56</v>
      </c>
      <c r="T277" s="17" t="s">
        <v>57</v>
      </c>
      <c r="U277" s="17" t="s">
        <v>58</v>
      </c>
      <c r="V277" s="17" t="s">
        <v>59</v>
      </c>
      <c r="W277" s="17" t="s">
        <v>60</v>
      </c>
      <c r="X277" s="17" t="s">
        <v>61</v>
      </c>
      <c r="Y277" s="17" t="s">
        <v>62</v>
      </c>
      <c r="Z277" s="17" t="s">
        <v>63</v>
      </c>
      <c r="AA277" s="17" t="s">
        <v>64</v>
      </c>
      <c r="AB277" s="17" t="s">
        <v>65</v>
      </c>
      <c r="AC277" s="17" t="s">
        <v>66</v>
      </c>
      <c r="AD277" s="17" t="s">
        <v>67</v>
      </c>
      <c r="AE277" s="17" t="s">
        <v>68</v>
      </c>
      <c r="AF277" s="17" t="s">
        <v>69</v>
      </c>
      <c r="AG277" s="17" t="s">
        <v>70</v>
      </c>
      <c r="AH277" s="17" t="s">
        <v>71</v>
      </c>
      <c r="AI277" s="17" t="s">
        <v>72</v>
      </c>
      <c r="AJ277" s="17" t="s">
        <v>73</v>
      </c>
      <c r="AK277" s="17" t="s">
        <v>74</v>
      </c>
      <c r="AL277" s="17" t="s">
        <v>75</v>
      </c>
      <c r="AM277" s="17" t="s">
        <v>76</v>
      </c>
      <c r="AN277" s="17" t="s">
        <v>77</v>
      </c>
      <c r="AO277" s="17" t="s">
        <v>78</v>
      </c>
      <c r="AP277" s="17" t="s">
        <v>79</v>
      </c>
      <c r="AQ277" s="17" t="s">
        <v>80</v>
      </c>
      <c r="AR277" s="17" t="s">
        <v>81</v>
      </c>
      <c r="AS277" s="17" t="s">
        <v>82</v>
      </c>
      <c r="AT277" s="17" t="s">
        <v>83</v>
      </c>
      <c r="AU277" s="17" t="s">
        <v>84</v>
      </c>
      <c r="AV277" s="16" t="s">
        <v>8</v>
      </c>
    </row>
    <row r="278" spans="1:48" x14ac:dyDescent="0.35">
      <c r="A278" s="27"/>
      <c r="B278" s="18" t="s">
        <v>95</v>
      </c>
      <c r="AR278" s="10">
        <v>3709.125</v>
      </c>
      <c r="AV278" s="19">
        <f>SUM(A278:AU278)</f>
        <v>3709.125</v>
      </c>
    </row>
    <row r="279" spans="1:48" x14ac:dyDescent="0.35">
      <c r="A279" s="27"/>
      <c r="B279" s="18" t="s">
        <v>85</v>
      </c>
      <c r="S279" s="10">
        <v>7400</v>
      </c>
      <c r="AV279" s="19">
        <f t="shared" ref="AV279:AV304" si="11">SUM(A279:AU279)</f>
        <v>7400</v>
      </c>
    </row>
    <row r="280" spans="1:48" x14ac:dyDescent="0.35">
      <c r="A280" s="27"/>
      <c r="B280" s="18" t="s">
        <v>86</v>
      </c>
      <c r="AR280" s="10">
        <v>4706.199999999998</v>
      </c>
      <c r="AV280" s="19">
        <f t="shared" si="11"/>
        <v>4706.199999999998</v>
      </c>
    </row>
    <row r="281" spans="1:48" x14ac:dyDescent="0.35">
      <c r="A281" s="27"/>
      <c r="B281" s="18" t="s">
        <v>32</v>
      </c>
      <c r="Y281" s="10">
        <v>7163</v>
      </c>
      <c r="AV281" s="19">
        <f t="shared" si="11"/>
        <v>7163</v>
      </c>
    </row>
    <row r="282" spans="1:48" x14ac:dyDescent="0.35">
      <c r="A282" s="27"/>
      <c r="B282" s="18" t="s">
        <v>10</v>
      </c>
      <c r="U282" s="10">
        <v>10980</v>
      </c>
      <c r="Y282" s="10">
        <v>5776</v>
      </c>
      <c r="Z282" s="10">
        <v>12640.224999999993</v>
      </c>
      <c r="AB282" s="10">
        <v>2664.6100000000006</v>
      </c>
      <c r="AV282" s="19">
        <f t="shared" si="11"/>
        <v>32060.834999999992</v>
      </c>
    </row>
    <row r="283" spans="1:48" x14ac:dyDescent="0.35">
      <c r="A283" s="27"/>
      <c r="B283" s="18" t="s">
        <v>102</v>
      </c>
      <c r="Z283" s="10">
        <v>710.85</v>
      </c>
      <c r="AR283" s="10">
        <v>5267.9999999999991</v>
      </c>
      <c r="AV283" s="19">
        <f t="shared" si="11"/>
        <v>5978.8499999999995</v>
      </c>
    </row>
    <row r="284" spans="1:48" x14ac:dyDescent="0.35">
      <c r="A284" s="27"/>
      <c r="B284" s="18" t="s">
        <v>11</v>
      </c>
      <c r="W284" s="10">
        <v>6972</v>
      </c>
      <c r="Z284" s="10">
        <v>45744.700000000041</v>
      </c>
      <c r="AP284" s="10">
        <v>57557.5</v>
      </c>
      <c r="AR284" s="10">
        <v>5626.4799999999987</v>
      </c>
      <c r="AT284" s="10">
        <v>13749.765000000007</v>
      </c>
      <c r="AU284" s="10">
        <v>3551.33</v>
      </c>
      <c r="AV284" s="19">
        <f t="shared" si="11"/>
        <v>133201.77500000002</v>
      </c>
    </row>
    <row r="285" spans="1:48" x14ac:dyDescent="0.35">
      <c r="A285" s="27"/>
      <c r="B285" s="18" t="s">
        <v>98</v>
      </c>
      <c r="L285" s="10">
        <v>4335</v>
      </c>
      <c r="AR285" s="10">
        <v>4444.8599999999988</v>
      </c>
      <c r="AV285" s="19">
        <f t="shared" si="11"/>
        <v>8779.8599999999988</v>
      </c>
    </row>
    <row r="286" spans="1:48" x14ac:dyDescent="0.35">
      <c r="A286" s="27"/>
      <c r="B286" s="18" t="s">
        <v>99</v>
      </c>
      <c r="AE286" s="10">
        <v>1307.2500000000002</v>
      </c>
      <c r="AF286" s="10">
        <v>4096.05</v>
      </c>
      <c r="AV286" s="19">
        <f t="shared" si="11"/>
        <v>5403.3</v>
      </c>
    </row>
    <row r="287" spans="1:48" x14ac:dyDescent="0.35">
      <c r="A287" s="27"/>
      <c r="B287" s="18" t="s">
        <v>12</v>
      </c>
      <c r="G287" s="10">
        <v>414</v>
      </c>
      <c r="H287" s="10">
        <v>4657.5</v>
      </c>
      <c r="I287" s="10">
        <v>9371.9250000000029</v>
      </c>
      <c r="K287" s="10">
        <v>3822.5</v>
      </c>
      <c r="N287" s="10">
        <v>9371.9250000000029</v>
      </c>
      <c r="V287" s="10">
        <v>10987.5</v>
      </c>
      <c r="Z287" s="10">
        <v>41158.349999999977</v>
      </c>
      <c r="AA287" s="10">
        <v>262.34999999999997</v>
      </c>
      <c r="AD287" s="10">
        <v>1750</v>
      </c>
      <c r="AH287" s="10">
        <v>13293.675000000005</v>
      </c>
      <c r="AI287" s="10">
        <v>16002.150000000016</v>
      </c>
      <c r="AJ287" s="10">
        <v>1312.5</v>
      </c>
      <c r="AK287" s="10">
        <v>4060</v>
      </c>
      <c r="AM287" s="10">
        <v>9371.9250000000029</v>
      </c>
      <c r="AO287" s="10">
        <v>34400.684999999983</v>
      </c>
      <c r="AQ287" s="10">
        <v>9371.9250000000029</v>
      </c>
      <c r="AV287" s="19">
        <f t="shared" si="11"/>
        <v>169608.90999999997</v>
      </c>
    </row>
    <row r="288" spans="1:48" x14ac:dyDescent="0.35">
      <c r="A288" s="27"/>
      <c r="B288" s="18" t="s">
        <v>105</v>
      </c>
      <c r="G288" s="10">
        <v>1607.5900000000001</v>
      </c>
      <c r="AV288" s="19">
        <f t="shared" si="11"/>
        <v>1607.5900000000001</v>
      </c>
    </row>
    <row r="289" spans="1:48" x14ac:dyDescent="0.35">
      <c r="A289" s="27"/>
      <c r="B289" s="18" t="s">
        <v>114</v>
      </c>
      <c r="AV289" s="19">
        <f t="shared" si="11"/>
        <v>0</v>
      </c>
    </row>
    <row r="290" spans="1:48" x14ac:dyDescent="0.35">
      <c r="A290" s="27"/>
      <c r="B290" s="18" t="s">
        <v>103</v>
      </c>
      <c r="T290" s="10">
        <v>913.05</v>
      </c>
      <c r="AV290" s="19">
        <f t="shared" si="11"/>
        <v>913.05</v>
      </c>
    </row>
    <row r="291" spans="1:48" x14ac:dyDescent="0.35">
      <c r="A291" s="27"/>
      <c r="B291" s="18" t="s">
        <v>14</v>
      </c>
      <c r="Q291" s="10">
        <v>985.34</v>
      </c>
      <c r="Z291" s="10">
        <v>8676.940000000006</v>
      </c>
      <c r="AF291" s="10">
        <v>31343.154999999937</v>
      </c>
      <c r="AR291" s="10">
        <v>1568.7649999999999</v>
      </c>
      <c r="AV291" s="19">
        <f t="shared" si="11"/>
        <v>42574.199999999939</v>
      </c>
    </row>
    <row r="292" spans="1:48" x14ac:dyDescent="0.35">
      <c r="A292" s="27"/>
      <c r="B292" s="18" t="s">
        <v>90</v>
      </c>
      <c r="G292" s="10">
        <v>603.75</v>
      </c>
      <c r="AF292" s="10">
        <v>4630.96</v>
      </c>
      <c r="AR292" s="10">
        <v>1925.9599999999998</v>
      </c>
      <c r="AV292" s="19">
        <f t="shared" si="11"/>
        <v>7160.67</v>
      </c>
    </row>
    <row r="293" spans="1:48" x14ac:dyDescent="0.35">
      <c r="A293" s="27"/>
      <c r="B293" s="18" t="s">
        <v>26</v>
      </c>
      <c r="AF293" s="10">
        <v>4187.6949999999997</v>
      </c>
      <c r="AR293" s="10">
        <v>894.58500000000004</v>
      </c>
      <c r="AV293" s="19">
        <f t="shared" si="11"/>
        <v>5082.28</v>
      </c>
    </row>
    <row r="294" spans="1:48" x14ac:dyDescent="0.35">
      <c r="A294" s="27"/>
      <c r="B294" s="18" t="s">
        <v>115</v>
      </c>
      <c r="C294" s="10">
        <v>1500</v>
      </c>
      <c r="AV294" s="19">
        <f t="shared" si="11"/>
        <v>1500</v>
      </c>
    </row>
    <row r="295" spans="1:48" x14ac:dyDescent="0.35">
      <c r="A295" s="27"/>
      <c r="B295" s="18" t="s">
        <v>92</v>
      </c>
      <c r="AV295" s="19">
        <f t="shared" si="11"/>
        <v>0</v>
      </c>
    </row>
    <row r="296" spans="1:48" x14ac:dyDescent="0.35">
      <c r="A296" s="27"/>
      <c r="B296" s="18" t="s">
        <v>27</v>
      </c>
      <c r="Z296" s="10">
        <v>5250</v>
      </c>
      <c r="AV296" s="19">
        <f t="shared" si="11"/>
        <v>5250</v>
      </c>
    </row>
    <row r="297" spans="1:48" x14ac:dyDescent="0.35">
      <c r="A297" s="27"/>
      <c r="B297" s="18" t="s">
        <v>110</v>
      </c>
      <c r="AN297" s="10">
        <v>49.83</v>
      </c>
      <c r="AV297" s="19">
        <f t="shared" si="11"/>
        <v>49.83</v>
      </c>
    </row>
    <row r="298" spans="1:48" x14ac:dyDescent="0.35">
      <c r="A298" s="27"/>
      <c r="B298" s="18" t="s">
        <v>94</v>
      </c>
      <c r="AF298" s="10">
        <v>847.56</v>
      </c>
      <c r="AV298" s="19">
        <f t="shared" si="11"/>
        <v>847.56</v>
      </c>
    </row>
    <row r="299" spans="1:48" x14ac:dyDescent="0.35">
      <c r="A299" s="27"/>
      <c r="B299" s="18" t="s">
        <v>111</v>
      </c>
      <c r="AN299" s="10">
        <v>168.45000000000002</v>
      </c>
      <c r="AV299" s="19">
        <f t="shared" si="11"/>
        <v>168.45000000000002</v>
      </c>
    </row>
    <row r="300" spans="1:48" x14ac:dyDescent="0.35">
      <c r="A300" s="27"/>
      <c r="B300" s="18" t="s">
        <v>107</v>
      </c>
      <c r="Z300" s="10">
        <v>1985.0250000000003</v>
      </c>
      <c r="AF300" s="10">
        <v>7007.5499999999984</v>
      </c>
      <c r="AV300" s="19">
        <f t="shared" si="11"/>
        <v>8992.5749999999989</v>
      </c>
    </row>
    <row r="301" spans="1:48" x14ac:dyDescent="0.35">
      <c r="A301" s="27"/>
      <c r="B301" s="18" t="s">
        <v>22</v>
      </c>
      <c r="C301" s="10">
        <v>1800</v>
      </c>
      <c r="G301" s="10">
        <v>12396.49499999999</v>
      </c>
      <c r="K301" s="10">
        <v>1750</v>
      </c>
      <c r="V301" s="10">
        <v>2771.3249999999998</v>
      </c>
      <c r="Z301" s="10">
        <v>7588.0149999999994</v>
      </c>
      <c r="AD301" s="10">
        <v>2100</v>
      </c>
      <c r="AI301" s="10">
        <v>8638.875</v>
      </c>
      <c r="AJ301" s="10">
        <v>5947.5</v>
      </c>
      <c r="AK301" s="10">
        <v>350</v>
      </c>
      <c r="AO301" s="10">
        <v>4788.3499999999985</v>
      </c>
      <c r="AV301" s="19">
        <f t="shared" si="11"/>
        <v>48130.55999999999</v>
      </c>
    </row>
    <row r="302" spans="1:48" x14ac:dyDescent="0.35">
      <c r="A302" s="27"/>
      <c r="B302" s="18" t="s">
        <v>116</v>
      </c>
      <c r="G302" s="10">
        <v>254.15</v>
      </c>
      <c r="AV302" s="19">
        <f t="shared" si="11"/>
        <v>254.15</v>
      </c>
    </row>
    <row r="303" spans="1:48" x14ac:dyDescent="0.35">
      <c r="A303" s="27"/>
      <c r="B303" s="18" t="s">
        <v>17</v>
      </c>
      <c r="AK303" s="10">
        <v>2233.4999999999995</v>
      </c>
      <c r="AV303" s="19">
        <f t="shared" si="11"/>
        <v>2233.4999999999995</v>
      </c>
    </row>
    <row r="304" spans="1:48" x14ac:dyDescent="0.35">
      <c r="A304" s="27"/>
      <c r="B304" s="18" t="s">
        <v>93</v>
      </c>
      <c r="AF304" s="10">
        <v>2122.17</v>
      </c>
      <c r="AR304" s="10">
        <v>1253.25</v>
      </c>
      <c r="AV304" s="19">
        <f t="shared" si="11"/>
        <v>3375.42</v>
      </c>
    </row>
    <row r="305" spans="1:48" x14ac:dyDescent="0.35">
      <c r="A305" s="27"/>
      <c r="B305" s="21" t="s">
        <v>18</v>
      </c>
      <c r="C305" s="22">
        <f>SUBTOTAL(109,Table24[3D Recruitment])</f>
        <v>3300</v>
      </c>
      <c r="D305" s="22">
        <f>SUBTOTAL(109,Table24[App Locum])</f>
        <v>0</v>
      </c>
      <c r="E305" s="22">
        <f>SUBTOTAL(109,Table24[Athona])</f>
        <v>0</v>
      </c>
      <c r="F305" s="22">
        <f>SUBTOTAL(109,Table24[Beacon])</f>
        <v>0</v>
      </c>
      <c r="G305" s="22">
        <f>SUBTOTAL(109,Table24[Biggs Healthcare])</f>
        <v>15275.98499999999</v>
      </c>
      <c r="H305" s="22">
        <f>SUBTOTAL(109,Table24[Care Solutions])</f>
        <v>4657.5</v>
      </c>
      <c r="I305" s="22">
        <f>SUBTOTAL(109,Table24[CES Locums])</f>
        <v>9371.9250000000029</v>
      </c>
      <c r="J305" s="22">
        <f>SUBTOTAL(109,Table24[Chase Medical])</f>
        <v>0</v>
      </c>
      <c r="K305" s="22">
        <f>SUBTOTAL(109,Table24[Day Webster])</f>
        <v>5572.5</v>
      </c>
      <c r="L305" s="22">
        <f>SUBTOTAL(109,Table24[DRC Locums])</f>
        <v>4335</v>
      </c>
      <c r="M305" s="22">
        <f>SUBTOTAL(109,Table24[Enviva Care])</f>
        <v>0</v>
      </c>
      <c r="N305" s="22">
        <f>SUBTOTAL(109,Table24[HCL])</f>
        <v>9371.9250000000029</v>
      </c>
      <c r="O305" s="22">
        <f>SUBTOTAL(109,Table24[Hourglass])</f>
        <v>0</v>
      </c>
      <c r="P305" s="22">
        <f>SUBTOTAL(109,Table24[Hunter Mental Health])</f>
        <v>0</v>
      </c>
      <c r="Q305" s="22">
        <f>SUBTOTAL(109,Table24[ID Medical])</f>
        <v>985.34</v>
      </c>
      <c r="R305" s="22">
        <f>SUBTOTAL(109,Table24[IMC LOCUMS])</f>
        <v>0</v>
      </c>
      <c r="S305" s="22">
        <f>SUBTOTAL(109,Table24[Locummeds])</f>
        <v>7400</v>
      </c>
      <c r="T305" s="22">
        <f>SUBTOTAL(109,Table24[Maxxima Ltd t/a Labmed Recruitment])</f>
        <v>913.05</v>
      </c>
      <c r="U305" s="22">
        <f>SUBTOTAL(109,Table24[Medicare Health Professional])</f>
        <v>10980</v>
      </c>
      <c r="V305" s="22">
        <f>SUBTOTAL(109,Table24[Medicure Professional LTD])</f>
        <v>13758.825000000001</v>
      </c>
      <c r="W305" s="22">
        <f>SUBTOTAL(109,Table24[Medilink])</f>
        <v>6972</v>
      </c>
      <c r="X305" s="22">
        <f>SUBTOTAL(109,Table24[Medsol Healthcare Services Ltd])</f>
        <v>0</v>
      </c>
      <c r="Y305" s="22">
        <f>SUBTOTAL(109,Table24[MHP])</f>
        <v>12939</v>
      </c>
      <c r="Z305" s="22">
        <f>SUBTOTAL(109,Table24[MSI Recruitment])</f>
        <v>123754.10500000001</v>
      </c>
      <c r="AA305" s="22">
        <f>SUBTOTAL(109,Table24[MSU])</f>
        <v>262.34999999999997</v>
      </c>
      <c r="AB305" s="22">
        <f>SUBTOTAL(109,Table24[NURSING 2000])</f>
        <v>2664.6100000000006</v>
      </c>
      <c r="AC305" s="22">
        <f>SUBTOTAL(109,Table24[P E Global Healthcare])</f>
        <v>0</v>
      </c>
      <c r="AD305" s="22">
        <f>SUBTOTAL(109,Table24[PerTemps])</f>
        <v>3850</v>
      </c>
      <c r="AE305" s="22">
        <f>SUBTOTAL(109,Table24[PSL RECRUITMENT])</f>
        <v>1307.2500000000002</v>
      </c>
      <c r="AF305" s="22">
        <f>SUBTOTAL(109,Table24[Pulse])</f>
        <v>54235.139999999927</v>
      </c>
      <c r="AG305" s="22">
        <f>SUBTOTAL(109,Table24[Redspot Care Ltd])</f>
        <v>0</v>
      </c>
      <c r="AH305" s="22">
        <f>SUBTOTAL(109,Table24[Sanctuary])</f>
        <v>13293.675000000005</v>
      </c>
      <c r="AI305" s="22">
        <f>SUBTOTAL(109,Table24[Sensible Staffing])</f>
        <v>24641.025000000016</v>
      </c>
      <c r="AJ305" s="22">
        <f>SUBTOTAL(109,Table24[Service Care Solutions])</f>
        <v>7260</v>
      </c>
      <c r="AK305" s="22">
        <f>SUBTOTAL(109,Table24[Seven Resoucing])</f>
        <v>6643.5</v>
      </c>
      <c r="AL305" s="22">
        <f>SUBTOTAL(109,Table24[Seven Social Care])</f>
        <v>0</v>
      </c>
      <c r="AM305" s="22">
        <f>SUBTOTAL(109,Table24[TBC])</f>
        <v>9371.9250000000029</v>
      </c>
      <c r="AN305" s="22">
        <f>SUBTOTAL(109,Table24[The London Teaching Pool])</f>
        <v>218.28000000000003</v>
      </c>
      <c r="AO305" s="22">
        <f>SUBTOTAL(109,Table24[Tripod])</f>
        <v>39189.034999999982</v>
      </c>
      <c r="AP305" s="22">
        <f>SUBTOTAL(109,Table24[Unity Healthcare])</f>
        <v>57557.5</v>
      </c>
      <c r="AQ305" s="22">
        <f>SUBTOTAL(109,Table24[West Meria])</f>
        <v>9371.9250000000029</v>
      </c>
      <c r="AR305" s="22">
        <f>SUBTOTAL(109,Table24[Your World])</f>
        <v>29397.224999999991</v>
      </c>
      <c r="AS305" s="22">
        <f>SUBTOTAL(109,Table24[Your World Healthcare])</f>
        <v>0</v>
      </c>
      <c r="AT305" s="22">
        <f>SUBTOTAL(109,Table24[Your World Nursing])</f>
        <v>13749.765000000007</v>
      </c>
      <c r="AU305" s="22">
        <f>SUBTOTAL(109,Table24[Your World Recruitment Ltd])</f>
        <v>3551.33</v>
      </c>
      <c r="AV305" s="22">
        <f>SUBTOTAL(109,Table24[Grand Total])</f>
        <v>506151.69</v>
      </c>
    </row>
    <row r="307" spans="1:48" x14ac:dyDescent="0.35">
      <c r="A307" s="26" t="s">
        <v>9</v>
      </c>
      <c r="B307" s="17" t="s">
        <v>39</v>
      </c>
      <c r="C307" s="17" t="s">
        <v>40</v>
      </c>
      <c r="D307" s="17" t="s">
        <v>41</v>
      </c>
      <c r="E307" s="17" t="s">
        <v>42</v>
      </c>
      <c r="F307" s="17" t="s">
        <v>43</v>
      </c>
      <c r="G307" s="17" t="s">
        <v>44</v>
      </c>
      <c r="H307" s="17" t="s">
        <v>45</v>
      </c>
      <c r="I307" s="17" t="s">
        <v>46</v>
      </c>
      <c r="J307" s="17" t="s">
        <v>47</v>
      </c>
      <c r="K307" s="17" t="s">
        <v>48</v>
      </c>
      <c r="L307" s="17" t="s">
        <v>49</v>
      </c>
      <c r="M307" s="17" t="s">
        <v>50</v>
      </c>
      <c r="N307" s="17" t="s">
        <v>51</v>
      </c>
      <c r="O307" s="17" t="s">
        <v>52</v>
      </c>
      <c r="P307" s="17" t="s">
        <v>53</v>
      </c>
      <c r="Q307" s="17" t="s">
        <v>54</v>
      </c>
      <c r="R307" s="17" t="s">
        <v>55</v>
      </c>
      <c r="S307" s="17" t="s">
        <v>56</v>
      </c>
      <c r="T307" s="17" t="s">
        <v>57</v>
      </c>
      <c r="U307" s="17" t="s">
        <v>58</v>
      </c>
      <c r="V307" s="17" t="s">
        <v>59</v>
      </c>
      <c r="W307" s="17" t="s">
        <v>60</v>
      </c>
      <c r="X307" s="17" t="s">
        <v>61</v>
      </c>
      <c r="Y307" s="17" t="s">
        <v>62</v>
      </c>
      <c r="Z307" s="17" t="s">
        <v>63</v>
      </c>
      <c r="AA307" s="17" t="s">
        <v>64</v>
      </c>
      <c r="AB307" s="17" t="s">
        <v>65</v>
      </c>
      <c r="AC307" s="17" t="s">
        <v>66</v>
      </c>
      <c r="AD307" s="17" t="s">
        <v>67</v>
      </c>
      <c r="AE307" s="17" t="s">
        <v>68</v>
      </c>
      <c r="AF307" s="17" t="s">
        <v>69</v>
      </c>
      <c r="AG307" s="17" t="s">
        <v>70</v>
      </c>
      <c r="AH307" s="17" t="s">
        <v>71</v>
      </c>
      <c r="AI307" s="17" t="s">
        <v>72</v>
      </c>
      <c r="AJ307" s="17" t="s">
        <v>73</v>
      </c>
      <c r="AK307" s="17" t="s">
        <v>74</v>
      </c>
      <c r="AL307" s="17" t="s">
        <v>75</v>
      </c>
      <c r="AM307" s="17" t="s">
        <v>76</v>
      </c>
      <c r="AN307" s="17" t="s">
        <v>77</v>
      </c>
      <c r="AO307" s="17" t="s">
        <v>78</v>
      </c>
      <c r="AP307" s="17" t="s">
        <v>79</v>
      </c>
      <c r="AQ307" s="17" t="s">
        <v>80</v>
      </c>
      <c r="AR307" s="17" t="s">
        <v>81</v>
      </c>
      <c r="AS307" s="17" t="s">
        <v>82</v>
      </c>
      <c r="AT307" s="17" t="s">
        <v>83</v>
      </c>
      <c r="AU307" s="17" t="s">
        <v>84</v>
      </c>
      <c r="AV307" s="16" t="s">
        <v>8</v>
      </c>
    </row>
    <row r="308" spans="1:48" x14ac:dyDescent="0.35">
      <c r="A308" s="27"/>
      <c r="B308" s="18" t="s">
        <v>95</v>
      </c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>
        <v>4945.5</v>
      </c>
      <c r="AS308" s="18"/>
      <c r="AT308" s="18"/>
      <c r="AU308" s="18"/>
      <c r="AV308" s="19">
        <f t="shared" ref="AV308:AV327" si="12">SUM(A308:AU308)</f>
        <v>4945.5</v>
      </c>
    </row>
    <row r="309" spans="1:48" x14ac:dyDescent="0.35">
      <c r="A309" s="27"/>
      <c r="B309" s="18" t="s">
        <v>85</v>
      </c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9">
        <f t="shared" si="12"/>
        <v>0</v>
      </c>
    </row>
    <row r="310" spans="1:48" x14ac:dyDescent="0.35">
      <c r="A310" s="27"/>
      <c r="B310" s="18" t="s">
        <v>86</v>
      </c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>
        <v>341.70000000000005</v>
      </c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>
        <v>2736.1649999999995</v>
      </c>
      <c r="AS310" s="18"/>
      <c r="AT310" s="18"/>
      <c r="AU310" s="18"/>
      <c r="AV310" s="19">
        <f t="shared" si="12"/>
        <v>3077.8649999999998</v>
      </c>
    </row>
    <row r="311" spans="1:48" x14ac:dyDescent="0.35">
      <c r="A311" s="27"/>
      <c r="B311" s="18" t="s">
        <v>32</v>
      </c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>
        <v>8588</v>
      </c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9">
        <f t="shared" si="12"/>
        <v>8588</v>
      </c>
    </row>
    <row r="312" spans="1:48" x14ac:dyDescent="0.35">
      <c r="A312" s="27"/>
      <c r="B312" s="18" t="s">
        <v>10</v>
      </c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>
        <v>6648.95</v>
      </c>
      <c r="V312" s="18"/>
      <c r="W312" s="18"/>
      <c r="X312" s="18"/>
      <c r="Y312" s="18">
        <v>3705</v>
      </c>
      <c r="Z312" s="18">
        <v>7868.8750000000036</v>
      </c>
      <c r="AA312" s="18"/>
      <c r="AB312" s="18">
        <v>2910.3750000000009</v>
      </c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9">
        <f t="shared" si="12"/>
        <v>21133.200000000004</v>
      </c>
    </row>
    <row r="313" spans="1:48" x14ac:dyDescent="0.35">
      <c r="A313" s="27"/>
      <c r="B313" s="18" t="s">
        <v>102</v>
      </c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>
        <v>5874.5850000000019</v>
      </c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>
        <v>3424.2000000000007</v>
      </c>
      <c r="AS313" s="18"/>
      <c r="AT313" s="18"/>
      <c r="AU313" s="18"/>
      <c r="AV313" s="19">
        <f t="shared" si="12"/>
        <v>9298.7850000000035</v>
      </c>
    </row>
    <row r="314" spans="1:48" x14ac:dyDescent="0.35">
      <c r="A314" s="27"/>
      <c r="B314" s="18" t="s">
        <v>11</v>
      </c>
      <c r="C314" s="18"/>
      <c r="D314" s="18"/>
      <c r="E314" s="18"/>
      <c r="F314" s="18"/>
      <c r="G314" s="18"/>
      <c r="H314" s="18"/>
      <c r="I314" s="18"/>
      <c r="J314" s="18"/>
      <c r="K314" s="18"/>
      <c r="L314" s="18">
        <v>867</v>
      </c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>
        <v>55677.420000000013</v>
      </c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>
        <v>35870.25</v>
      </c>
      <c r="AQ314" s="18"/>
      <c r="AR314" s="18">
        <v>5433.3600000000006</v>
      </c>
      <c r="AS314" s="18">
        <v>1002.6</v>
      </c>
      <c r="AT314" s="18">
        <v>21440.309999999998</v>
      </c>
      <c r="AU314" s="18">
        <v>2355.81</v>
      </c>
      <c r="AV314" s="19">
        <f t="shared" si="12"/>
        <v>122646.75000000001</v>
      </c>
    </row>
    <row r="315" spans="1:48" x14ac:dyDescent="0.35">
      <c r="A315" s="27"/>
      <c r="B315" s="18" t="s">
        <v>98</v>
      </c>
      <c r="C315" s="18"/>
      <c r="D315" s="18"/>
      <c r="E315" s="18"/>
      <c r="F315" s="18"/>
      <c r="G315" s="18"/>
      <c r="H315" s="18"/>
      <c r="I315" s="18"/>
      <c r="J315" s="18"/>
      <c r="K315" s="18"/>
      <c r="L315" s="18">
        <v>2312</v>
      </c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>
        <v>1904.94</v>
      </c>
      <c r="AS315" s="18"/>
      <c r="AT315" s="18"/>
      <c r="AU315" s="18"/>
      <c r="AV315" s="19">
        <f t="shared" si="12"/>
        <v>4216.9400000000005</v>
      </c>
    </row>
    <row r="316" spans="1:48" x14ac:dyDescent="0.35">
      <c r="A316" s="27"/>
      <c r="B316" s="18" t="s">
        <v>99</v>
      </c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>
        <v>1220.1000000000001</v>
      </c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9">
        <f t="shared" si="12"/>
        <v>1220.1000000000001</v>
      </c>
    </row>
    <row r="317" spans="1:48" x14ac:dyDescent="0.35">
      <c r="A317" s="27"/>
      <c r="B317" s="18" t="s">
        <v>12</v>
      </c>
      <c r="C317" s="18"/>
      <c r="D317" s="18"/>
      <c r="E317" s="18"/>
      <c r="F317" s="18"/>
      <c r="G317" s="18"/>
      <c r="H317" s="18">
        <v>2835</v>
      </c>
      <c r="I317" s="18">
        <v>5016.5999999999985</v>
      </c>
      <c r="J317" s="18"/>
      <c r="K317" s="18"/>
      <c r="L317" s="18"/>
      <c r="M317" s="18"/>
      <c r="N317" s="18">
        <v>5016.5999999999985</v>
      </c>
      <c r="O317" s="18"/>
      <c r="P317" s="18"/>
      <c r="Q317" s="18"/>
      <c r="R317" s="18"/>
      <c r="S317" s="18"/>
      <c r="T317" s="18"/>
      <c r="U317" s="18"/>
      <c r="V317" s="18">
        <v>7395</v>
      </c>
      <c r="W317" s="18"/>
      <c r="X317" s="18"/>
      <c r="Y317" s="18"/>
      <c r="Z317" s="18">
        <v>25537.200000000023</v>
      </c>
      <c r="AA317" s="18"/>
      <c r="AB317" s="18"/>
      <c r="AC317" s="18"/>
      <c r="AD317" s="18"/>
      <c r="AE317" s="18"/>
      <c r="AF317" s="18">
        <v>5016.5999999999985</v>
      </c>
      <c r="AG317" s="18"/>
      <c r="AH317" s="18">
        <v>8066.8499999999967</v>
      </c>
      <c r="AI317" s="18">
        <v>9376.1999999999989</v>
      </c>
      <c r="AJ317" s="18">
        <v>4485</v>
      </c>
      <c r="AK317" s="18">
        <v>1116.75</v>
      </c>
      <c r="AL317" s="18"/>
      <c r="AM317" s="18">
        <v>5016.5999999999985</v>
      </c>
      <c r="AN317" s="18"/>
      <c r="AO317" s="18">
        <v>25179.900000000005</v>
      </c>
      <c r="AP317" s="18"/>
      <c r="AQ317" s="18">
        <v>5016.5999999999985</v>
      </c>
      <c r="AR317" s="18"/>
      <c r="AS317" s="18"/>
      <c r="AT317" s="18"/>
      <c r="AU317" s="18"/>
      <c r="AV317" s="19">
        <f t="shared" si="12"/>
        <v>109074.90000000002</v>
      </c>
    </row>
    <row r="318" spans="1:48" x14ac:dyDescent="0.35">
      <c r="A318" s="27"/>
      <c r="B318" s="18" t="s">
        <v>106</v>
      </c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9">
        <f t="shared" si="12"/>
        <v>0</v>
      </c>
    </row>
    <row r="319" spans="1:48" x14ac:dyDescent="0.35">
      <c r="A319" s="27"/>
      <c r="B319" s="18" t="s">
        <v>14</v>
      </c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>
        <v>194.47499999999999</v>
      </c>
      <c r="R319" s="18"/>
      <c r="S319" s="18"/>
      <c r="T319" s="18"/>
      <c r="U319" s="18"/>
      <c r="V319" s="18"/>
      <c r="W319" s="18"/>
      <c r="X319" s="18"/>
      <c r="Y319" s="18"/>
      <c r="Z319" s="18">
        <v>4516.0550000000003</v>
      </c>
      <c r="AA319" s="18"/>
      <c r="AB319" s="18"/>
      <c r="AC319" s="18"/>
      <c r="AD319" s="18"/>
      <c r="AE319" s="18"/>
      <c r="AF319" s="18">
        <v>67107.36000000019</v>
      </c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>
        <v>1555.8</v>
      </c>
      <c r="AS319" s="18"/>
      <c r="AT319" s="18"/>
      <c r="AU319" s="18"/>
      <c r="AV319" s="19">
        <f t="shared" si="12"/>
        <v>73373.690000000192</v>
      </c>
    </row>
    <row r="320" spans="1:48" x14ac:dyDescent="0.35">
      <c r="A320" s="27"/>
      <c r="B320" s="18" t="s">
        <v>90</v>
      </c>
      <c r="C320" s="18"/>
      <c r="D320" s="18"/>
      <c r="E320" s="18"/>
      <c r="F320" s="18"/>
      <c r="G320" s="18">
        <v>6972.4869999999964</v>
      </c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>
        <v>1601.36</v>
      </c>
      <c r="AS320" s="18"/>
      <c r="AT320" s="18"/>
      <c r="AU320" s="18"/>
      <c r="AV320" s="19">
        <f t="shared" si="12"/>
        <v>8573.8469999999961</v>
      </c>
    </row>
    <row r="321" spans="1:48" x14ac:dyDescent="0.35">
      <c r="A321" s="27"/>
      <c r="B321" s="18" t="s">
        <v>26</v>
      </c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>
        <v>501.3</v>
      </c>
      <c r="AS321" s="18"/>
      <c r="AT321" s="18"/>
      <c r="AU321" s="18"/>
      <c r="AV321" s="19">
        <f t="shared" si="12"/>
        <v>501.3</v>
      </c>
    </row>
    <row r="322" spans="1:48" x14ac:dyDescent="0.35">
      <c r="A322" s="27"/>
      <c r="B322" s="18" t="s">
        <v>92</v>
      </c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9">
        <f t="shared" si="12"/>
        <v>0</v>
      </c>
    </row>
    <row r="323" spans="1:48" x14ac:dyDescent="0.35">
      <c r="A323" s="27"/>
      <c r="B323" s="18" t="s">
        <v>27</v>
      </c>
      <c r="C323" s="18"/>
      <c r="D323" s="18"/>
      <c r="E323" s="18"/>
      <c r="F323" s="18"/>
      <c r="G323" s="18"/>
      <c r="H323" s="18"/>
      <c r="I323" s="18"/>
      <c r="J323" s="18"/>
      <c r="K323" s="18">
        <v>2100</v>
      </c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>
        <v>3412.5</v>
      </c>
      <c r="AA323" s="18"/>
      <c r="AB323" s="18"/>
      <c r="AC323" s="18"/>
      <c r="AD323" s="18">
        <v>1050</v>
      </c>
      <c r="AE323" s="18"/>
      <c r="AF323" s="18"/>
      <c r="AG323" s="18"/>
      <c r="AH323" s="18"/>
      <c r="AI323" s="18"/>
      <c r="AJ323" s="18"/>
      <c r="AK323" s="18">
        <v>1200</v>
      </c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9">
        <f t="shared" si="12"/>
        <v>7762.5</v>
      </c>
    </row>
    <row r="324" spans="1:48" x14ac:dyDescent="0.35">
      <c r="A324" s="27"/>
      <c r="B324" s="18" t="s">
        <v>107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>
        <v>1602.6750000000002</v>
      </c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9">
        <f t="shared" si="12"/>
        <v>1602.6750000000002</v>
      </c>
    </row>
    <row r="325" spans="1:48" x14ac:dyDescent="0.35">
      <c r="A325" s="27"/>
      <c r="B325" s="18" t="s">
        <v>22</v>
      </c>
      <c r="C325" s="18"/>
      <c r="D325" s="18"/>
      <c r="E325" s="18"/>
      <c r="F325" s="18"/>
      <c r="G325" s="18">
        <v>4049.5950000000003</v>
      </c>
      <c r="H325" s="18"/>
      <c r="I325" s="18"/>
      <c r="J325" s="18"/>
      <c r="K325" s="18">
        <v>5950</v>
      </c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>
        <v>1102.5</v>
      </c>
      <c r="AA325" s="18"/>
      <c r="AB325" s="18"/>
      <c r="AC325" s="18"/>
      <c r="AD325" s="18">
        <v>2800</v>
      </c>
      <c r="AE325" s="18"/>
      <c r="AF325" s="18"/>
      <c r="AG325" s="18"/>
      <c r="AH325" s="18"/>
      <c r="AI325" s="18">
        <v>9537</v>
      </c>
      <c r="AJ325" s="18"/>
      <c r="AK325" s="18">
        <v>2255</v>
      </c>
      <c r="AL325" s="18"/>
      <c r="AM325" s="18"/>
      <c r="AN325" s="18"/>
      <c r="AO325" s="18">
        <v>1598.845</v>
      </c>
      <c r="AP325" s="18"/>
      <c r="AQ325" s="18"/>
      <c r="AR325" s="18"/>
      <c r="AS325" s="18"/>
      <c r="AT325" s="18"/>
      <c r="AU325" s="18"/>
      <c r="AV325" s="19">
        <f t="shared" si="12"/>
        <v>27292.940000000002</v>
      </c>
    </row>
    <row r="326" spans="1:48" x14ac:dyDescent="0.35">
      <c r="A326" s="27"/>
      <c r="B326" s="18" t="s">
        <v>17</v>
      </c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9">
        <f t="shared" si="12"/>
        <v>0</v>
      </c>
    </row>
    <row r="327" spans="1:48" x14ac:dyDescent="0.35">
      <c r="A327" s="27"/>
      <c r="B327" s="18" t="s">
        <v>93</v>
      </c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>
        <v>1002.6</v>
      </c>
      <c r="AS327" s="18"/>
      <c r="AT327" s="18"/>
      <c r="AU327" s="18"/>
      <c r="AV327" s="19">
        <f t="shared" si="12"/>
        <v>1002.6</v>
      </c>
    </row>
    <row r="328" spans="1:48" x14ac:dyDescent="0.35">
      <c r="A328" s="27"/>
      <c r="B328" s="21" t="s">
        <v>18</v>
      </c>
      <c r="C328" s="21">
        <f>SUBTOTAL(109,Table23[3D Recruitment])</f>
        <v>0</v>
      </c>
      <c r="D328" s="21">
        <f>SUBTOTAL(109,Table23[App Locum])</f>
        <v>0</v>
      </c>
      <c r="E328" s="21">
        <f>SUBTOTAL(109,Table23[Athona])</f>
        <v>0</v>
      </c>
      <c r="F328" s="21">
        <f>SUBTOTAL(109,Table23[Beacon])</f>
        <v>0</v>
      </c>
      <c r="G328" s="21">
        <f>SUBTOTAL(109,Table23[Biggs Healthcare])</f>
        <v>11022.081999999997</v>
      </c>
      <c r="H328" s="21">
        <f>SUBTOTAL(109,Table23[Care Solutions])</f>
        <v>2835</v>
      </c>
      <c r="I328" s="21">
        <f>SUBTOTAL(109,Table23[CES Locums])</f>
        <v>5016.5999999999985</v>
      </c>
      <c r="J328" s="21">
        <f>SUBTOTAL(109,Table23[Chase Medical])</f>
        <v>0</v>
      </c>
      <c r="K328" s="21">
        <f>SUBTOTAL(109,Table23[Day Webster])</f>
        <v>8050</v>
      </c>
      <c r="L328" s="21">
        <f>SUBTOTAL(109,Table23[DRC Locums])</f>
        <v>3179</v>
      </c>
      <c r="M328" s="21">
        <f>SUBTOTAL(109,Table23[Enviva Care])</f>
        <v>0</v>
      </c>
      <c r="N328" s="21">
        <f>SUBTOTAL(109,Table23[HCL])</f>
        <v>5016.5999999999985</v>
      </c>
      <c r="O328" s="21">
        <f>SUBTOTAL(109,Table23[Hourglass])</f>
        <v>0</v>
      </c>
      <c r="P328" s="21">
        <f>SUBTOTAL(109,Table23[Hunter Mental Health])</f>
        <v>0</v>
      </c>
      <c r="Q328" s="21">
        <f>SUBTOTAL(109,Table23[ID Medical])</f>
        <v>194.47499999999999</v>
      </c>
      <c r="R328" s="21">
        <f>SUBTOTAL(109,Table23[IMC LOCUMS])</f>
        <v>0</v>
      </c>
      <c r="S328" s="21">
        <f>SUBTOTAL(109,Table23[Locummeds])</f>
        <v>0</v>
      </c>
      <c r="T328" s="21">
        <f>SUBTOTAL(109,Table23[Maxxima Ltd t/a Labmed Recruitment])</f>
        <v>0</v>
      </c>
      <c r="U328" s="21">
        <f>SUBTOTAL(109,Table23[Medicare Health Professional])</f>
        <v>6648.95</v>
      </c>
      <c r="V328" s="21">
        <f>SUBTOTAL(109,Table23[Medicure Professional LTD])</f>
        <v>7395</v>
      </c>
      <c r="W328" s="21">
        <f>SUBTOTAL(109,Table23[Medilink])</f>
        <v>0</v>
      </c>
      <c r="X328" s="21">
        <f>SUBTOTAL(109,Table23[Medsol Healthcare Services Ltd])</f>
        <v>0</v>
      </c>
      <c r="Y328" s="21">
        <f>SUBTOTAL(109,Table23[MHP])</f>
        <v>12293</v>
      </c>
      <c r="Z328" s="21">
        <f>SUBTOTAL(109,Table23[MSI Recruitment])</f>
        <v>105933.51000000005</v>
      </c>
      <c r="AA328" s="21">
        <f>SUBTOTAL(109,Table23[MSU])</f>
        <v>0</v>
      </c>
      <c r="AB328" s="21">
        <f>SUBTOTAL(109,Table23[NURSING 2000])</f>
        <v>2910.3750000000009</v>
      </c>
      <c r="AC328" s="21">
        <f>SUBTOTAL(109,Table23[P E Global Healthcare])</f>
        <v>0</v>
      </c>
      <c r="AD328" s="21">
        <f>SUBTOTAL(109,Table23[PerTemps])</f>
        <v>3850</v>
      </c>
      <c r="AE328" s="21">
        <f>SUBTOTAL(109,Table23[PSL RECRUITMENT])</f>
        <v>1220.1000000000001</v>
      </c>
      <c r="AF328" s="21">
        <f>SUBTOTAL(109,Table23[Pulse])</f>
        <v>72123.960000000196</v>
      </c>
      <c r="AG328" s="21">
        <f>SUBTOTAL(109,Table23[Redspot Care Ltd])</f>
        <v>0</v>
      </c>
      <c r="AH328" s="21">
        <f>SUBTOTAL(109,Table23[Sanctuary])</f>
        <v>8066.8499999999967</v>
      </c>
      <c r="AI328" s="21">
        <f>SUBTOTAL(109,Table23[Sensible Staffing])</f>
        <v>18913.199999999997</v>
      </c>
      <c r="AJ328" s="21">
        <f>SUBTOTAL(109,Table23[Service Care Solutions])</f>
        <v>4485</v>
      </c>
      <c r="AK328" s="21">
        <f>SUBTOTAL(109,Table23[Seven Resoucing])</f>
        <v>4571.75</v>
      </c>
      <c r="AL328" s="21">
        <f>SUBTOTAL(109,Table23[Seven Social Care])</f>
        <v>0</v>
      </c>
      <c r="AM328" s="21">
        <f>SUBTOTAL(109,Table23[TBC])</f>
        <v>5016.5999999999985</v>
      </c>
      <c r="AN328" s="21">
        <f>SUBTOTAL(109,Table23[The London Teaching Pool])</f>
        <v>0</v>
      </c>
      <c r="AO328" s="21">
        <f>SUBTOTAL(109,Table23[Tripod])</f>
        <v>26778.745000000006</v>
      </c>
      <c r="AP328" s="21">
        <f>SUBTOTAL(109,Table23[Unity Healthcare])</f>
        <v>35870.25</v>
      </c>
      <c r="AQ328" s="21">
        <f>SUBTOTAL(109,Table23[West Meria])</f>
        <v>5016.5999999999985</v>
      </c>
      <c r="AR328" s="21">
        <f>SUBTOTAL(109,Table23[Your World])</f>
        <v>23105.224999999995</v>
      </c>
      <c r="AS328" s="21">
        <f>SUBTOTAL(109,Table23[Your World Healthcare])</f>
        <v>1002.6</v>
      </c>
      <c r="AT328" s="21">
        <f>SUBTOTAL(109,Table23[Your World Nursing])</f>
        <v>21440.309999999998</v>
      </c>
      <c r="AU328" s="21">
        <f>SUBTOTAL(109,Table23[Your World Recruitment Ltd])</f>
        <v>2355.81</v>
      </c>
      <c r="AV328" s="21">
        <f>SUBTOTAL(109,Table23[Grand Total])</f>
        <v>404311.59200000018</v>
      </c>
    </row>
    <row r="333" spans="1:48" x14ac:dyDescent="0.35">
      <c r="AU333" s="24" t="s">
        <v>9</v>
      </c>
      <c r="AV333" s="10">
        <f>Table2[[#Totals],[Grand Total]]</f>
        <v>383462.5</v>
      </c>
    </row>
    <row r="334" spans="1:48" x14ac:dyDescent="0.35">
      <c r="AU334" s="24" t="s">
        <v>19</v>
      </c>
      <c r="AV334" s="10">
        <f>Table3[[#Totals],[Grand Total]]</f>
        <v>347532.96499999997</v>
      </c>
    </row>
    <row r="335" spans="1:48" x14ac:dyDescent="0.35">
      <c r="AU335" s="24" t="s">
        <v>23</v>
      </c>
      <c r="AV335" s="10">
        <f>Table18[[#Totals],[Grand Total]]</f>
        <v>401708.55999999994</v>
      </c>
    </row>
    <row r="336" spans="1:48" x14ac:dyDescent="0.35">
      <c r="AU336" s="24" t="s">
        <v>28</v>
      </c>
      <c r="AV336" s="10">
        <f>Table19[[#Totals],[Grand Total]]</f>
        <v>433849.3949999999</v>
      </c>
    </row>
    <row r="337" spans="47:48" x14ac:dyDescent="0.35">
      <c r="AU337" s="24" t="s">
        <v>30</v>
      </c>
      <c r="AV337" s="10">
        <f>Table20[[#Totals],[Grand Total]]</f>
        <v>498847.69299999997</v>
      </c>
    </row>
    <row r="338" spans="47:48" x14ac:dyDescent="0.35">
      <c r="AU338" s="24" t="s">
        <v>31</v>
      </c>
      <c r="AV338" s="10">
        <f>Table21[[#Totals],[Grand Total]]</f>
        <v>459472.17599999998</v>
      </c>
    </row>
    <row r="339" spans="47:48" x14ac:dyDescent="0.35">
      <c r="AU339" s="24" t="s">
        <v>33</v>
      </c>
      <c r="AV339" s="10">
        <f>Table22[[#Totals],[Grand Total]]</f>
        <v>576418.18499999994</v>
      </c>
    </row>
    <row r="340" spans="47:48" x14ac:dyDescent="0.35">
      <c r="AU340" s="24" t="s">
        <v>34</v>
      </c>
      <c r="AV340" s="10">
        <f>Table28[[#Totals],[Grand Total]]</f>
        <v>79339.909999999989</v>
      </c>
    </row>
    <row r="341" spans="47:48" x14ac:dyDescent="0.35">
      <c r="AU341" s="24" t="s">
        <v>35</v>
      </c>
      <c r="AV341" s="10">
        <f>Table27[[#Totals],[Grand Total]]</f>
        <v>213148.20500000002</v>
      </c>
    </row>
    <row r="342" spans="47:48" x14ac:dyDescent="0.35">
      <c r="AU342" s="24" t="s">
        <v>36</v>
      </c>
      <c r="AV342" s="10">
        <f>Table26[[#Totals],[Grand Total]]</f>
        <v>518584.8519999999</v>
      </c>
    </row>
    <row r="343" spans="47:48" x14ac:dyDescent="0.35">
      <c r="AU343" s="24" t="s">
        <v>37</v>
      </c>
      <c r="AV343" s="10">
        <f>Table25[[#Totals],[Grand Total]]</f>
        <v>10980</v>
      </c>
    </row>
    <row r="344" spans="47:48" x14ac:dyDescent="0.35">
      <c r="AU344" s="24" t="s">
        <v>113</v>
      </c>
      <c r="AV344" s="10">
        <f>Table24[[#Totals],[Grand Total]]</f>
        <v>506151.69</v>
      </c>
    </row>
    <row r="345" spans="47:48" x14ac:dyDescent="0.35">
      <c r="AU345" s="23">
        <v>45017</v>
      </c>
      <c r="AV345" s="10">
        <f>Table23[[#Totals],[Grand Total]]</f>
        <v>404311.59200000018</v>
      </c>
    </row>
    <row r="346" spans="47:48" x14ac:dyDescent="0.35">
      <c r="AV346" s="10"/>
    </row>
    <row r="347" spans="47:48" x14ac:dyDescent="0.35">
      <c r="AU347" s="10" t="s">
        <v>18</v>
      </c>
      <c r="AV347" s="10">
        <f>SUM(AV333:AV345)</f>
        <v>4833807.7230000002</v>
      </c>
    </row>
    <row r="348" spans="47:48" x14ac:dyDescent="0.35">
      <c r="AV348" s="25">
        <f>SUM(AV328,AV305,AV23,AV49,AV75,AV103,AV135,AV162,AV192,AV202,AV218,AV248,AV275)</f>
        <v>4833807.7230000002</v>
      </c>
    </row>
  </sheetData>
  <mergeCells count="13">
    <mergeCell ref="A3:A23"/>
    <mergeCell ref="A26:A49"/>
    <mergeCell ref="A52:A75"/>
    <mergeCell ref="A78:A103"/>
    <mergeCell ref="A105:A135"/>
    <mergeCell ref="A277:A305"/>
    <mergeCell ref="A307:A328"/>
    <mergeCell ref="A137:A162"/>
    <mergeCell ref="A164:A192"/>
    <mergeCell ref="A194:A202"/>
    <mergeCell ref="A204:A218"/>
    <mergeCell ref="A220:A248"/>
    <mergeCell ref="A250:A275"/>
  </mergeCells>
  <pageMargins left="0.7" right="0.7" top="0.75" bottom="0.75" header="0.3" footer="0.3"/>
  <pageSetup paperSize="9" orientation="landscape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53"/>
  <sheetViews>
    <sheetView view="pageBreakPreview" zoomScale="60" zoomScaleNormal="100" workbookViewId="0">
      <selection activeCell="C1" sqref="C1"/>
    </sheetView>
  </sheetViews>
  <sheetFormatPr defaultRowHeight="14.5" x14ac:dyDescent="0.35"/>
  <cols>
    <col min="2" max="2" width="9.81640625" bestFit="1" customWidth="1"/>
    <col min="3" max="3" width="18.453125" bestFit="1" customWidth="1"/>
    <col min="4" max="4" width="22.81640625" bestFit="1" customWidth="1"/>
    <col min="5" max="5" width="27.7265625" bestFit="1" customWidth="1"/>
    <col min="6" max="6" width="17.81640625" style="12" bestFit="1" customWidth="1"/>
    <col min="7" max="7" width="21.7265625" style="12" bestFit="1" customWidth="1"/>
    <col min="8" max="8" width="15.81640625" style="12" customWidth="1"/>
    <col min="9" max="9" width="19.81640625" style="12" customWidth="1"/>
    <col min="10" max="10" width="13.7265625" bestFit="1" customWidth="1"/>
  </cols>
  <sheetData>
    <row r="1" spans="2:10" x14ac:dyDescent="0.35">
      <c r="F1"/>
      <c r="G1"/>
      <c r="H1"/>
      <c r="I1"/>
    </row>
    <row r="2" spans="2:10" x14ac:dyDescent="0.35">
      <c r="F2"/>
      <c r="G2"/>
      <c r="H2"/>
      <c r="I2"/>
    </row>
    <row r="3" spans="2:10" x14ac:dyDescent="0.3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2:10" x14ac:dyDescent="0.35">
      <c r="B4" s="28" t="s">
        <v>9</v>
      </c>
      <c r="C4" t="s">
        <v>10</v>
      </c>
      <c r="D4" s="3"/>
      <c r="E4" s="3">
        <v>1445.1</v>
      </c>
      <c r="F4" s="3"/>
      <c r="G4" s="3"/>
      <c r="H4" s="3"/>
      <c r="I4" s="3"/>
      <c r="J4" s="4">
        <f>SUM(D4:I4)</f>
        <v>1445.1</v>
      </c>
    </row>
    <row r="5" spans="2:10" x14ac:dyDescent="0.35">
      <c r="B5" s="29"/>
      <c r="C5" t="s">
        <v>11</v>
      </c>
      <c r="D5" s="3"/>
      <c r="E5" s="3">
        <v>2075</v>
      </c>
      <c r="F5" s="3"/>
      <c r="G5" s="3"/>
      <c r="H5" s="3"/>
      <c r="I5" s="3"/>
      <c r="J5" s="4">
        <f t="shared" ref="J5:J68" si="0">SUM(D5:I5)</f>
        <v>2075</v>
      </c>
    </row>
    <row r="6" spans="2:10" x14ac:dyDescent="0.35">
      <c r="B6" s="29"/>
      <c r="C6" t="s">
        <v>12</v>
      </c>
      <c r="D6" s="3">
        <v>3465</v>
      </c>
      <c r="E6" s="3">
        <v>0</v>
      </c>
      <c r="F6" s="3"/>
      <c r="G6" s="3">
        <v>2004.75</v>
      </c>
      <c r="H6" s="3"/>
      <c r="I6" s="3">
        <v>4330.7999999999993</v>
      </c>
      <c r="J6" s="4">
        <f t="shared" si="0"/>
        <v>9800.5499999999993</v>
      </c>
    </row>
    <row r="7" spans="2:10" x14ac:dyDescent="0.35">
      <c r="B7" s="29"/>
      <c r="C7" t="s">
        <v>13</v>
      </c>
      <c r="D7" s="3"/>
      <c r="E7" s="3">
        <v>0</v>
      </c>
      <c r="F7" s="3"/>
      <c r="G7" s="3">
        <v>1755</v>
      </c>
      <c r="H7" s="3"/>
      <c r="I7" s="3"/>
      <c r="J7" s="4">
        <f t="shared" si="0"/>
        <v>1755</v>
      </c>
    </row>
    <row r="8" spans="2:10" x14ac:dyDescent="0.35">
      <c r="B8" s="29"/>
      <c r="C8" t="s">
        <v>14</v>
      </c>
      <c r="D8" s="3"/>
      <c r="E8" s="3">
        <v>3885.55</v>
      </c>
      <c r="F8" s="3"/>
      <c r="G8" s="3"/>
      <c r="H8" s="3"/>
      <c r="I8" s="3"/>
      <c r="J8" s="4">
        <f t="shared" si="0"/>
        <v>3885.55</v>
      </c>
    </row>
    <row r="9" spans="2:10" x14ac:dyDescent="0.35">
      <c r="B9" s="29"/>
      <c r="C9" t="s">
        <v>15</v>
      </c>
      <c r="D9" s="3"/>
      <c r="E9" s="3">
        <v>0</v>
      </c>
      <c r="F9" s="3">
        <v>8874</v>
      </c>
      <c r="G9" s="3"/>
      <c r="H9" s="3"/>
      <c r="I9" s="3"/>
      <c r="J9" s="4">
        <f t="shared" si="0"/>
        <v>8874</v>
      </c>
    </row>
    <row r="10" spans="2:10" x14ac:dyDescent="0.35">
      <c r="B10" s="29"/>
      <c r="C10" t="s">
        <v>16</v>
      </c>
      <c r="D10" s="3"/>
      <c r="E10" s="3">
        <v>0</v>
      </c>
      <c r="F10" s="3">
        <v>4125</v>
      </c>
      <c r="G10" s="3"/>
      <c r="H10" s="3"/>
      <c r="I10" s="3"/>
      <c r="J10" s="4">
        <f t="shared" si="0"/>
        <v>4125</v>
      </c>
    </row>
    <row r="11" spans="2:10" x14ac:dyDescent="0.35">
      <c r="B11" s="29"/>
      <c r="C11" t="s">
        <v>17</v>
      </c>
      <c r="D11" s="3">
        <v>2625</v>
      </c>
      <c r="E11" s="3">
        <v>0</v>
      </c>
      <c r="F11" s="3"/>
      <c r="G11" s="3"/>
      <c r="H11" s="3"/>
      <c r="I11" s="3"/>
      <c r="J11" s="4">
        <f t="shared" si="0"/>
        <v>2625</v>
      </c>
    </row>
    <row r="12" spans="2:10" x14ac:dyDescent="0.35">
      <c r="B12" s="30"/>
      <c r="C12" s="2" t="s">
        <v>18</v>
      </c>
      <c r="D12" s="5">
        <f>SUM(D4:D11)</f>
        <v>6090</v>
      </c>
      <c r="E12" s="5">
        <f t="shared" ref="E12:J12" si="1">SUM(E4:E11)</f>
        <v>7405.65</v>
      </c>
      <c r="F12" s="5">
        <f t="shared" si="1"/>
        <v>12999</v>
      </c>
      <c r="G12" s="5">
        <f t="shared" si="1"/>
        <v>3759.75</v>
      </c>
      <c r="H12" s="5">
        <f t="shared" si="1"/>
        <v>0</v>
      </c>
      <c r="I12" s="5">
        <f t="shared" si="1"/>
        <v>4330.7999999999993</v>
      </c>
      <c r="J12" s="4">
        <f t="shared" si="1"/>
        <v>34585.199999999997</v>
      </c>
    </row>
    <row r="13" spans="2:10" x14ac:dyDescent="0.35">
      <c r="C13" s="2"/>
      <c r="D13" s="4"/>
      <c r="E13" s="4"/>
      <c r="F13" s="4"/>
      <c r="G13" s="4"/>
      <c r="H13" s="4"/>
      <c r="I13" s="4"/>
      <c r="J13" s="4"/>
    </row>
    <row r="14" spans="2:10" x14ac:dyDescent="0.35">
      <c r="B14" s="1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5</v>
      </c>
      <c r="H14" s="2" t="s">
        <v>6</v>
      </c>
      <c r="I14" s="2" t="s">
        <v>7</v>
      </c>
      <c r="J14" s="2" t="s">
        <v>8</v>
      </c>
    </row>
    <row r="15" spans="2:10" x14ac:dyDescent="0.35">
      <c r="B15" s="31" t="s">
        <v>19</v>
      </c>
      <c r="C15" t="s">
        <v>20</v>
      </c>
      <c r="D15" s="6"/>
      <c r="E15" s="6">
        <v>0</v>
      </c>
      <c r="F15" s="6"/>
      <c r="G15" s="6"/>
      <c r="H15" s="6"/>
      <c r="I15" s="6"/>
      <c r="J15" s="4">
        <f t="shared" si="0"/>
        <v>0</v>
      </c>
    </row>
    <row r="16" spans="2:10" x14ac:dyDescent="0.35">
      <c r="B16" s="32"/>
      <c r="C16" t="s">
        <v>21</v>
      </c>
      <c r="D16" s="6">
        <v>3860.3249999999985</v>
      </c>
      <c r="E16" s="6">
        <v>0</v>
      </c>
      <c r="F16" s="6"/>
      <c r="G16" s="6"/>
      <c r="H16" s="6"/>
      <c r="I16" s="6"/>
      <c r="J16" s="4">
        <f t="shared" si="0"/>
        <v>3860.3249999999985</v>
      </c>
    </row>
    <row r="17" spans="2:10" x14ac:dyDescent="0.35">
      <c r="B17" s="32"/>
      <c r="C17" t="s">
        <v>12</v>
      </c>
      <c r="D17" s="6">
        <v>6135</v>
      </c>
      <c r="E17" s="6">
        <v>0</v>
      </c>
      <c r="F17" s="6"/>
      <c r="G17" s="6">
        <v>3564</v>
      </c>
      <c r="H17" s="6"/>
      <c r="I17" s="6">
        <v>4812</v>
      </c>
      <c r="J17" s="4">
        <f t="shared" si="0"/>
        <v>14511</v>
      </c>
    </row>
    <row r="18" spans="2:10" x14ac:dyDescent="0.35">
      <c r="B18" s="32"/>
      <c r="C18" t="s">
        <v>13</v>
      </c>
      <c r="D18" s="6"/>
      <c r="E18" s="6">
        <v>0</v>
      </c>
      <c r="F18" s="6"/>
      <c r="G18" s="6">
        <v>4095</v>
      </c>
      <c r="H18" s="6"/>
      <c r="I18" s="6"/>
      <c r="J18" s="4">
        <f t="shared" si="0"/>
        <v>4095</v>
      </c>
    </row>
    <row r="19" spans="2:10" x14ac:dyDescent="0.35">
      <c r="B19" s="32"/>
      <c r="C19" t="s">
        <v>15</v>
      </c>
      <c r="D19" s="6"/>
      <c r="E19" s="6">
        <v>0</v>
      </c>
      <c r="F19" s="6">
        <v>16150</v>
      </c>
      <c r="G19" s="6"/>
      <c r="H19" s="6"/>
      <c r="I19" s="6"/>
      <c r="J19" s="4">
        <f t="shared" si="0"/>
        <v>16150</v>
      </c>
    </row>
    <row r="20" spans="2:10" x14ac:dyDescent="0.35">
      <c r="B20" s="32"/>
      <c r="C20" t="s">
        <v>16</v>
      </c>
      <c r="D20" s="6"/>
      <c r="E20" s="6">
        <v>0</v>
      </c>
      <c r="F20" s="6">
        <v>375</v>
      </c>
      <c r="G20" s="6"/>
      <c r="H20" s="6"/>
      <c r="I20" s="6"/>
      <c r="J20" s="4">
        <f t="shared" si="0"/>
        <v>375</v>
      </c>
    </row>
    <row r="21" spans="2:10" x14ac:dyDescent="0.35">
      <c r="B21" s="32"/>
      <c r="C21" t="s">
        <v>22</v>
      </c>
      <c r="D21" s="6"/>
      <c r="E21" s="6">
        <v>0</v>
      </c>
      <c r="F21" s="6"/>
      <c r="G21" s="6"/>
      <c r="H21" s="6"/>
      <c r="I21" s="6"/>
      <c r="J21" s="4">
        <f t="shared" si="0"/>
        <v>0</v>
      </c>
    </row>
    <row r="22" spans="2:10" x14ac:dyDescent="0.35">
      <c r="B22" s="32"/>
      <c r="C22" t="s">
        <v>17</v>
      </c>
      <c r="D22" s="6">
        <v>2812.5</v>
      </c>
      <c r="E22" s="6">
        <v>0</v>
      </c>
      <c r="F22" s="6"/>
      <c r="G22" s="6"/>
      <c r="H22" s="6"/>
      <c r="I22" s="6"/>
      <c r="J22" s="4">
        <f t="shared" si="0"/>
        <v>2812.5</v>
      </c>
    </row>
    <row r="23" spans="2:10" x14ac:dyDescent="0.35">
      <c r="B23" s="32"/>
      <c r="C23" s="2" t="s">
        <v>18</v>
      </c>
      <c r="D23" s="4">
        <f>SUM(D15:D22)</f>
        <v>12807.824999999999</v>
      </c>
      <c r="E23" s="4">
        <f t="shared" ref="E23:J23" si="2">SUM(E15:E22)</f>
        <v>0</v>
      </c>
      <c r="F23" s="4">
        <f t="shared" si="2"/>
        <v>16525</v>
      </c>
      <c r="G23" s="4">
        <f t="shared" si="2"/>
        <v>7659</v>
      </c>
      <c r="H23" s="4">
        <f t="shared" si="2"/>
        <v>0</v>
      </c>
      <c r="I23" s="4">
        <f t="shared" si="2"/>
        <v>4812</v>
      </c>
      <c r="J23" s="4">
        <f t="shared" si="2"/>
        <v>41803.824999999997</v>
      </c>
    </row>
    <row r="24" spans="2:10" x14ac:dyDescent="0.35">
      <c r="F24"/>
      <c r="G24"/>
      <c r="H24"/>
      <c r="I24"/>
      <c r="J24" s="4"/>
    </row>
    <row r="25" spans="2:10" x14ac:dyDescent="0.35">
      <c r="B25" s="1" t="s">
        <v>0</v>
      </c>
      <c r="C25" s="2" t="s">
        <v>1</v>
      </c>
      <c r="D25" s="2" t="s">
        <v>2</v>
      </c>
      <c r="E25" s="2" t="s">
        <v>3</v>
      </c>
      <c r="F25" s="2" t="s">
        <v>4</v>
      </c>
      <c r="G25" s="2" t="s">
        <v>5</v>
      </c>
      <c r="H25" s="2" t="s">
        <v>6</v>
      </c>
      <c r="I25" s="2" t="s">
        <v>7</v>
      </c>
      <c r="J25" s="2" t="s">
        <v>8</v>
      </c>
    </row>
    <row r="26" spans="2:10" x14ac:dyDescent="0.35">
      <c r="B26" s="31" t="s">
        <v>23</v>
      </c>
      <c r="C26" t="s">
        <v>10</v>
      </c>
      <c r="D26" s="6"/>
      <c r="E26" s="6">
        <v>14269.660000000003</v>
      </c>
      <c r="F26" s="6"/>
      <c r="G26" s="6"/>
      <c r="H26" s="6"/>
      <c r="I26" s="6"/>
      <c r="J26" s="4">
        <f t="shared" si="0"/>
        <v>14269.660000000003</v>
      </c>
    </row>
    <row r="27" spans="2:10" x14ac:dyDescent="0.35">
      <c r="B27" s="32"/>
      <c r="C27" t="s">
        <v>20</v>
      </c>
      <c r="D27" s="6"/>
      <c r="E27" s="6">
        <v>3217.5</v>
      </c>
      <c r="F27" s="6"/>
      <c r="G27" s="6"/>
      <c r="H27" s="6"/>
      <c r="I27" s="6"/>
      <c r="J27" s="4">
        <f t="shared" si="0"/>
        <v>3217.5</v>
      </c>
    </row>
    <row r="28" spans="2:10" x14ac:dyDescent="0.35">
      <c r="B28" s="32"/>
      <c r="C28" t="s">
        <v>21</v>
      </c>
      <c r="D28" s="6">
        <v>3676.4999999999986</v>
      </c>
      <c r="E28" s="6">
        <v>0</v>
      </c>
      <c r="F28" s="6"/>
      <c r="G28" s="6"/>
      <c r="H28" s="6"/>
      <c r="I28" s="6"/>
      <c r="J28" s="4">
        <f t="shared" si="0"/>
        <v>3676.4999999999986</v>
      </c>
    </row>
    <row r="29" spans="2:10" x14ac:dyDescent="0.35">
      <c r="B29" s="32"/>
      <c r="C29" t="s">
        <v>24</v>
      </c>
      <c r="D29" s="6"/>
      <c r="E29" s="6">
        <v>20711.55</v>
      </c>
      <c r="F29" s="6"/>
      <c r="G29" s="6"/>
      <c r="H29" s="6"/>
      <c r="I29" s="6"/>
      <c r="J29" s="4">
        <f t="shared" si="0"/>
        <v>20711.55</v>
      </c>
    </row>
    <row r="30" spans="2:10" x14ac:dyDescent="0.35">
      <c r="B30" s="32"/>
      <c r="C30" t="s">
        <v>12</v>
      </c>
      <c r="D30" s="6">
        <v>3960</v>
      </c>
      <c r="E30" s="6">
        <v>0</v>
      </c>
      <c r="F30" s="6"/>
      <c r="G30" s="6">
        <v>3341.25</v>
      </c>
      <c r="H30" s="6"/>
      <c r="I30" s="6">
        <v>4812</v>
      </c>
      <c r="J30" s="4">
        <f t="shared" si="0"/>
        <v>12113.25</v>
      </c>
    </row>
    <row r="31" spans="2:10" x14ac:dyDescent="0.35">
      <c r="B31" s="32"/>
      <c r="C31" t="s">
        <v>13</v>
      </c>
      <c r="D31" s="6"/>
      <c r="E31" s="6">
        <v>0</v>
      </c>
      <c r="F31" s="6"/>
      <c r="G31" s="6">
        <v>3120</v>
      </c>
      <c r="H31" s="6"/>
      <c r="I31" s="6"/>
      <c r="J31" s="4">
        <f t="shared" si="0"/>
        <v>3120</v>
      </c>
    </row>
    <row r="32" spans="2:10" x14ac:dyDescent="0.35">
      <c r="B32" s="32"/>
      <c r="C32" t="s">
        <v>14</v>
      </c>
      <c r="D32" s="6"/>
      <c r="E32" s="6">
        <v>10994.320000000009</v>
      </c>
      <c r="F32" s="6"/>
      <c r="G32" s="6"/>
      <c r="H32" s="6"/>
      <c r="I32" s="6"/>
      <c r="J32" s="4">
        <f t="shared" si="0"/>
        <v>10994.320000000009</v>
      </c>
    </row>
    <row r="33" spans="2:10" x14ac:dyDescent="0.35">
      <c r="B33" s="32"/>
      <c r="C33" t="s">
        <v>25</v>
      </c>
      <c r="D33" s="6"/>
      <c r="E33" s="6">
        <v>1555.7999999999997</v>
      </c>
      <c r="F33" s="6"/>
      <c r="G33" s="6"/>
      <c r="H33" s="6"/>
      <c r="I33" s="6"/>
      <c r="J33" s="4">
        <f t="shared" si="0"/>
        <v>1555.7999999999997</v>
      </c>
    </row>
    <row r="34" spans="2:10" x14ac:dyDescent="0.35">
      <c r="B34" s="32"/>
      <c r="C34" t="s">
        <v>26</v>
      </c>
      <c r="D34" s="6"/>
      <c r="E34" s="6">
        <v>4161.7650000000003</v>
      </c>
      <c r="F34" s="6"/>
      <c r="G34" s="6"/>
      <c r="H34" s="6"/>
      <c r="I34" s="6"/>
      <c r="J34" s="4">
        <f t="shared" si="0"/>
        <v>4161.7650000000003</v>
      </c>
    </row>
    <row r="35" spans="2:10" x14ac:dyDescent="0.35">
      <c r="B35" s="32"/>
      <c r="C35" t="s">
        <v>15</v>
      </c>
      <c r="D35" s="6"/>
      <c r="E35" s="6">
        <v>0</v>
      </c>
      <c r="F35" s="6">
        <v>28730</v>
      </c>
      <c r="G35" s="6"/>
      <c r="H35" s="6"/>
      <c r="I35" s="6"/>
      <c r="J35" s="4">
        <f t="shared" si="0"/>
        <v>28730</v>
      </c>
    </row>
    <row r="36" spans="2:10" x14ac:dyDescent="0.35">
      <c r="B36" s="32"/>
      <c r="C36" t="s">
        <v>27</v>
      </c>
      <c r="D36" s="6"/>
      <c r="E36" s="6">
        <v>0</v>
      </c>
      <c r="F36" s="6"/>
      <c r="G36" s="6"/>
      <c r="H36" s="6">
        <v>1882.2000000000003</v>
      </c>
      <c r="I36" s="6"/>
      <c r="J36" s="4">
        <f t="shared" si="0"/>
        <v>1882.2000000000003</v>
      </c>
    </row>
    <row r="37" spans="2:10" x14ac:dyDescent="0.35">
      <c r="B37" s="32"/>
      <c r="C37" t="s">
        <v>22</v>
      </c>
      <c r="D37" s="6"/>
      <c r="E37" s="6">
        <v>0</v>
      </c>
      <c r="F37" s="6"/>
      <c r="G37" s="6"/>
      <c r="H37" s="6"/>
      <c r="I37" s="6"/>
      <c r="J37" s="4">
        <f t="shared" si="0"/>
        <v>0</v>
      </c>
    </row>
    <row r="38" spans="2:10" x14ac:dyDescent="0.35">
      <c r="B38" s="32"/>
      <c r="C38" t="s">
        <v>17</v>
      </c>
      <c r="D38" s="6">
        <v>2812.5</v>
      </c>
      <c r="E38" s="6">
        <v>0</v>
      </c>
      <c r="F38" s="6"/>
      <c r="G38" s="6"/>
      <c r="H38" s="6"/>
      <c r="I38" s="6"/>
      <c r="J38" s="4">
        <f t="shared" si="0"/>
        <v>2812.5</v>
      </c>
    </row>
    <row r="39" spans="2:10" x14ac:dyDescent="0.35">
      <c r="B39" s="32"/>
      <c r="C39" s="2" t="s">
        <v>18</v>
      </c>
      <c r="D39" s="4">
        <f>SUM(D26:D38)</f>
        <v>10448.999999999998</v>
      </c>
      <c r="E39" s="4">
        <f t="shared" ref="E39:J39" si="3">SUM(E26:E38)</f>
        <v>54910.595000000016</v>
      </c>
      <c r="F39" s="4">
        <f t="shared" si="3"/>
        <v>28730</v>
      </c>
      <c r="G39" s="4">
        <f t="shared" si="3"/>
        <v>6461.25</v>
      </c>
      <c r="H39" s="4">
        <f t="shared" si="3"/>
        <v>1882.2000000000003</v>
      </c>
      <c r="I39" s="4">
        <f t="shared" si="3"/>
        <v>4812</v>
      </c>
      <c r="J39" s="4">
        <f t="shared" si="3"/>
        <v>107245.04500000001</v>
      </c>
    </row>
    <row r="40" spans="2:10" x14ac:dyDescent="0.35">
      <c r="F40"/>
      <c r="G40"/>
      <c r="H40"/>
      <c r="I40"/>
      <c r="J40" s="4"/>
    </row>
    <row r="41" spans="2:10" x14ac:dyDescent="0.35">
      <c r="B41" s="1" t="s">
        <v>0</v>
      </c>
      <c r="C41" s="4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4" t="s">
        <v>7</v>
      </c>
      <c r="J41" s="4" t="s">
        <v>8</v>
      </c>
    </row>
    <row r="42" spans="2:10" x14ac:dyDescent="0.35">
      <c r="B42" s="28" t="s">
        <v>28</v>
      </c>
      <c r="C42" s="7" t="s">
        <v>29</v>
      </c>
      <c r="D42" s="6"/>
      <c r="E42" s="6">
        <v>18486</v>
      </c>
      <c r="F42" s="6"/>
      <c r="G42" s="6"/>
      <c r="H42" s="6"/>
      <c r="I42" s="6"/>
      <c r="J42" s="4">
        <f t="shared" si="0"/>
        <v>18486</v>
      </c>
    </row>
    <row r="43" spans="2:10" x14ac:dyDescent="0.35">
      <c r="B43" s="29"/>
      <c r="C43" s="7" t="s">
        <v>20</v>
      </c>
      <c r="D43" s="6"/>
      <c r="E43" s="6">
        <v>3958.5</v>
      </c>
      <c r="F43" s="6"/>
      <c r="G43" s="6"/>
      <c r="H43" s="6"/>
      <c r="I43" s="6"/>
      <c r="J43" s="4">
        <f t="shared" si="0"/>
        <v>3958.5</v>
      </c>
    </row>
    <row r="44" spans="2:10" x14ac:dyDescent="0.35">
      <c r="B44" s="29"/>
      <c r="C44" s="7" t="s">
        <v>21</v>
      </c>
      <c r="D44" s="6">
        <v>3860.3249999999985</v>
      </c>
      <c r="E44" s="6">
        <v>0</v>
      </c>
      <c r="F44" s="6"/>
      <c r="G44" s="6"/>
      <c r="H44" s="6"/>
      <c r="I44" s="6"/>
      <c r="J44" s="4">
        <f t="shared" si="0"/>
        <v>3860.3249999999985</v>
      </c>
    </row>
    <row r="45" spans="2:10" x14ac:dyDescent="0.35">
      <c r="B45" s="29"/>
      <c r="C45" s="7" t="s">
        <v>24</v>
      </c>
      <c r="D45" s="6"/>
      <c r="E45" s="6">
        <v>20255.400000000001</v>
      </c>
      <c r="F45" s="6"/>
      <c r="G45" s="6"/>
      <c r="H45" s="6"/>
      <c r="I45" s="6"/>
      <c r="J45" s="4">
        <f t="shared" si="0"/>
        <v>20255.400000000001</v>
      </c>
    </row>
    <row r="46" spans="2:10" x14ac:dyDescent="0.35">
      <c r="B46" s="29"/>
      <c r="C46" s="7" t="s">
        <v>12</v>
      </c>
      <c r="D46" s="6">
        <v>4590</v>
      </c>
      <c r="E46" s="6">
        <v>0</v>
      </c>
      <c r="F46" s="6"/>
      <c r="G46" s="6">
        <v>11916</v>
      </c>
      <c r="H46" s="6"/>
      <c r="I46" s="6">
        <v>5052.6000000000004</v>
      </c>
      <c r="J46" s="4">
        <f t="shared" si="0"/>
        <v>21558.6</v>
      </c>
    </row>
    <row r="47" spans="2:10" x14ac:dyDescent="0.35">
      <c r="B47" s="29"/>
      <c r="C47" s="7" t="s">
        <v>13</v>
      </c>
      <c r="D47" s="6"/>
      <c r="E47" s="6">
        <v>0</v>
      </c>
      <c r="F47" s="6"/>
      <c r="G47" s="6">
        <v>2925</v>
      </c>
      <c r="H47" s="6"/>
      <c r="I47" s="6"/>
      <c r="J47" s="4">
        <f t="shared" si="0"/>
        <v>2925</v>
      </c>
    </row>
    <row r="48" spans="2:10" x14ac:dyDescent="0.35">
      <c r="B48" s="29"/>
      <c r="C48" s="7" t="s">
        <v>14</v>
      </c>
      <c r="D48" s="6"/>
      <c r="E48" s="6">
        <v>6715.8700000000035</v>
      </c>
      <c r="F48" s="6"/>
      <c r="G48" s="6"/>
      <c r="H48" s="6"/>
      <c r="I48" s="6"/>
      <c r="J48" s="4">
        <f t="shared" si="0"/>
        <v>6715.8700000000035</v>
      </c>
    </row>
    <row r="49" spans="2:10" x14ac:dyDescent="0.35">
      <c r="B49" s="29"/>
      <c r="C49" s="7" t="s">
        <v>25</v>
      </c>
      <c r="D49" s="6"/>
      <c r="E49" s="6">
        <v>2333.6999999999998</v>
      </c>
      <c r="F49" s="6"/>
      <c r="G49" s="6"/>
      <c r="H49" s="6"/>
      <c r="I49" s="6"/>
      <c r="J49" s="4">
        <f t="shared" si="0"/>
        <v>2333.6999999999998</v>
      </c>
    </row>
    <row r="50" spans="2:10" x14ac:dyDescent="0.35">
      <c r="B50" s="29"/>
      <c r="C50" s="7" t="s">
        <v>26</v>
      </c>
      <c r="D50" s="6"/>
      <c r="E50" s="6">
        <v>2463.35</v>
      </c>
      <c r="F50" s="6"/>
      <c r="G50" s="6"/>
      <c r="H50" s="6"/>
      <c r="I50" s="6"/>
      <c r="J50" s="4">
        <f t="shared" si="0"/>
        <v>2463.35</v>
      </c>
    </row>
    <row r="51" spans="2:10" x14ac:dyDescent="0.35">
      <c r="B51" s="29"/>
      <c r="C51" t="s">
        <v>15</v>
      </c>
      <c r="D51" s="6"/>
      <c r="E51" s="6">
        <v>0</v>
      </c>
      <c r="F51" s="6">
        <v>22117</v>
      </c>
      <c r="G51" s="6"/>
      <c r="H51" s="6"/>
      <c r="I51" s="6"/>
      <c r="J51" s="4">
        <f t="shared" si="0"/>
        <v>22117</v>
      </c>
    </row>
    <row r="52" spans="2:10" x14ac:dyDescent="0.35">
      <c r="B52" s="29"/>
      <c r="C52" s="7" t="s">
        <v>27</v>
      </c>
      <c r="D52" s="6"/>
      <c r="E52" s="6">
        <v>0</v>
      </c>
      <c r="F52" s="6"/>
      <c r="G52" s="6"/>
      <c r="H52" s="6">
        <v>3576.1800000000007</v>
      </c>
      <c r="I52" s="6"/>
      <c r="J52" s="4">
        <f t="shared" si="0"/>
        <v>3576.1800000000007</v>
      </c>
    </row>
    <row r="53" spans="2:10" x14ac:dyDescent="0.35">
      <c r="B53" s="29"/>
      <c r="C53" s="7" t="s">
        <v>16</v>
      </c>
      <c r="D53" s="6"/>
      <c r="E53" s="6">
        <v>0</v>
      </c>
      <c r="F53" s="6">
        <v>7425</v>
      </c>
      <c r="G53" s="6"/>
      <c r="H53" s="6"/>
      <c r="I53" s="6"/>
      <c r="J53" s="4">
        <f t="shared" si="0"/>
        <v>7425</v>
      </c>
    </row>
    <row r="54" spans="2:10" x14ac:dyDescent="0.35">
      <c r="B54" s="29"/>
      <c r="C54" s="7" t="s">
        <v>17</v>
      </c>
      <c r="D54" s="6">
        <v>2812.5</v>
      </c>
      <c r="E54" s="6">
        <v>0</v>
      </c>
      <c r="F54" s="6"/>
      <c r="G54" s="6"/>
      <c r="H54" s="6"/>
      <c r="I54" s="6"/>
      <c r="J54" s="4">
        <f t="shared" si="0"/>
        <v>2812.5</v>
      </c>
    </row>
    <row r="55" spans="2:10" x14ac:dyDescent="0.35">
      <c r="B55" s="30"/>
      <c r="C55" s="4" t="s">
        <v>18</v>
      </c>
      <c r="D55" s="4">
        <f>SUM(D42:D54)</f>
        <v>11262.824999999999</v>
      </c>
      <c r="E55" s="4">
        <f t="shared" ref="E55:J55" si="4">SUM(E42:E54)</f>
        <v>54212.82</v>
      </c>
      <c r="F55" s="4">
        <f t="shared" si="4"/>
        <v>29542</v>
      </c>
      <c r="G55" s="4">
        <f t="shared" si="4"/>
        <v>14841</v>
      </c>
      <c r="H55" s="4">
        <f t="shared" si="4"/>
        <v>3576.1800000000007</v>
      </c>
      <c r="I55" s="4">
        <f t="shared" si="4"/>
        <v>5052.6000000000004</v>
      </c>
      <c r="J55" s="4">
        <f t="shared" si="4"/>
        <v>118487.42500000002</v>
      </c>
    </row>
    <row r="56" spans="2:10" x14ac:dyDescent="0.35">
      <c r="C56" s="8"/>
      <c r="F56"/>
      <c r="G56"/>
      <c r="H56"/>
      <c r="I56"/>
      <c r="J56" s="4"/>
    </row>
    <row r="57" spans="2:10" x14ac:dyDescent="0.35">
      <c r="B57" s="1" t="s">
        <v>0</v>
      </c>
      <c r="C57" s="2" t="s">
        <v>1</v>
      </c>
      <c r="D57" s="2" t="s">
        <v>2</v>
      </c>
      <c r="E57" s="2" t="s">
        <v>3</v>
      </c>
      <c r="F57" s="9" t="s">
        <v>4</v>
      </c>
      <c r="G57" s="9" t="s">
        <v>5</v>
      </c>
      <c r="H57" s="9" t="s">
        <v>6</v>
      </c>
      <c r="I57" s="9" t="s">
        <v>7</v>
      </c>
      <c r="J57" s="2" t="s">
        <v>8</v>
      </c>
    </row>
    <row r="58" spans="2:10" x14ac:dyDescent="0.35">
      <c r="B58" s="28" t="s">
        <v>30</v>
      </c>
      <c r="C58" s="8" t="s">
        <v>21</v>
      </c>
      <c r="D58" s="6">
        <v>4227.9749999999985</v>
      </c>
      <c r="E58" s="6">
        <v>0</v>
      </c>
      <c r="F58" s="10"/>
      <c r="G58" s="10"/>
      <c r="H58" s="10"/>
      <c r="I58" s="10"/>
      <c r="J58" s="4">
        <f t="shared" si="0"/>
        <v>4227.9749999999985</v>
      </c>
    </row>
    <row r="59" spans="2:10" x14ac:dyDescent="0.35">
      <c r="B59" s="29"/>
      <c r="C59" s="8" t="s">
        <v>12</v>
      </c>
      <c r="D59" s="6">
        <v>8212.5</v>
      </c>
      <c r="E59" s="6">
        <v>0</v>
      </c>
      <c r="F59" s="10"/>
      <c r="G59" s="10">
        <v>16245</v>
      </c>
      <c r="H59" s="10"/>
      <c r="I59" s="10">
        <v>5293.2000000000007</v>
      </c>
      <c r="J59" s="4">
        <f t="shared" si="0"/>
        <v>29750.7</v>
      </c>
    </row>
    <row r="60" spans="2:10" x14ac:dyDescent="0.35">
      <c r="B60" s="29"/>
      <c r="C60" s="8" t="s">
        <v>13</v>
      </c>
      <c r="D60" s="6"/>
      <c r="E60" s="6">
        <v>0</v>
      </c>
      <c r="F60" s="10"/>
      <c r="G60" s="10">
        <v>1950</v>
      </c>
      <c r="H60" s="10"/>
      <c r="I60" s="10"/>
      <c r="J60" s="4">
        <f t="shared" si="0"/>
        <v>1950</v>
      </c>
    </row>
    <row r="61" spans="2:10" x14ac:dyDescent="0.35">
      <c r="B61" s="29"/>
      <c r="C61" t="s">
        <v>15</v>
      </c>
      <c r="D61" s="6"/>
      <c r="E61" s="6">
        <v>0</v>
      </c>
      <c r="F61" s="10">
        <v>24106</v>
      </c>
      <c r="G61" s="10"/>
      <c r="H61" s="10"/>
      <c r="I61" s="10"/>
      <c r="J61" s="4">
        <f t="shared" si="0"/>
        <v>24106</v>
      </c>
    </row>
    <row r="62" spans="2:10" x14ac:dyDescent="0.35">
      <c r="B62" s="29"/>
      <c r="C62" s="8" t="s">
        <v>16</v>
      </c>
      <c r="D62" s="6"/>
      <c r="E62" s="6">
        <v>0</v>
      </c>
      <c r="F62" s="10">
        <v>9900</v>
      </c>
      <c r="G62" s="10"/>
      <c r="H62" s="10"/>
      <c r="I62" s="10"/>
      <c r="J62" s="4">
        <f t="shared" si="0"/>
        <v>9900</v>
      </c>
    </row>
    <row r="63" spans="2:10" x14ac:dyDescent="0.35">
      <c r="B63" s="29"/>
      <c r="C63" s="8" t="s">
        <v>22</v>
      </c>
      <c r="D63" s="6"/>
      <c r="E63" s="6">
        <v>0</v>
      </c>
      <c r="F63" s="10"/>
      <c r="G63" s="10"/>
      <c r="H63" s="10"/>
      <c r="I63" s="10"/>
      <c r="J63" s="4">
        <f t="shared" si="0"/>
        <v>0</v>
      </c>
    </row>
    <row r="64" spans="2:10" x14ac:dyDescent="0.35">
      <c r="B64" s="29"/>
      <c r="C64" s="8" t="s">
        <v>17</v>
      </c>
      <c r="D64" s="6">
        <v>1875</v>
      </c>
      <c r="E64" s="6">
        <v>0</v>
      </c>
      <c r="F64" s="10"/>
      <c r="G64" s="10"/>
      <c r="H64" s="10"/>
      <c r="I64" s="10"/>
      <c r="J64" s="4">
        <f t="shared" si="0"/>
        <v>1875</v>
      </c>
    </row>
    <row r="65" spans="2:10" s="2" customFormat="1" x14ac:dyDescent="0.35">
      <c r="B65" s="30"/>
      <c r="C65" s="11" t="s">
        <v>18</v>
      </c>
      <c r="D65" s="4">
        <f>SUM(D58:D64)</f>
        <v>14315.474999999999</v>
      </c>
      <c r="E65" s="4">
        <f t="shared" ref="E65:J65" si="5">SUM(E58:E64)</f>
        <v>0</v>
      </c>
      <c r="F65" s="4">
        <f t="shared" si="5"/>
        <v>34006</v>
      </c>
      <c r="G65" s="4">
        <f t="shared" si="5"/>
        <v>18195</v>
      </c>
      <c r="H65" s="4">
        <f t="shared" si="5"/>
        <v>0</v>
      </c>
      <c r="I65" s="4">
        <f t="shared" si="5"/>
        <v>5293.2000000000007</v>
      </c>
      <c r="J65" s="4">
        <f t="shared" si="5"/>
        <v>71809.675000000003</v>
      </c>
    </row>
    <row r="66" spans="2:10" x14ac:dyDescent="0.35">
      <c r="C66" s="8"/>
      <c r="J66" s="4"/>
    </row>
    <row r="67" spans="2:10" x14ac:dyDescent="0.35">
      <c r="B67" s="1" t="s">
        <v>0</v>
      </c>
      <c r="C67" s="2" t="s">
        <v>1</v>
      </c>
      <c r="D67" s="2" t="s">
        <v>2</v>
      </c>
      <c r="E67" s="2" t="s">
        <v>3</v>
      </c>
      <c r="F67" s="9" t="s">
        <v>4</v>
      </c>
      <c r="G67" s="9" t="s">
        <v>5</v>
      </c>
      <c r="H67" s="9" t="s">
        <v>6</v>
      </c>
      <c r="I67" s="9" t="s">
        <v>7</v>
      </c>
      <c r="J67" s="2" t="s">
        <v>8</v>
      </c>
    </row>
    <row r="68" spans="2:10" x14ac:dyDescent="0.35">
      <c r="B68" s="28" t="s">
        <v>31</v>
      </c>
      <c r="C68" s="8" t="s">
        <v>32</v>
      </c>
      <c r="D68" s="6"/>
      <c r="E68" s="6">
        <v>0</v>
      </c>
      <c r="F68" s="10"/>
      <c r="G68" s="10"/>
      <c r="H68" s="10"/>
      <c r="I68" s="10"/>
      <c r="J68" s="4">
        <f t="shared" si="0"/>
        <v>0</v>
      </c>
    </row>
    <row r="69" spans="2:10" x14ac:dyDescent="0.35">
      <c r="B69" s="29"/>
      <c r="C69" s="8" t="s">
        <v>20</v>
      </c>
      <c r="D69" s="6"/>
      <c r="E69" s="6">
        <v>292.5</v>
      </c>
      <c r="F69" s="10"/>
      <c r="G69" s="10"/>
      <c r="H69" s="10"/>
      <c r="I69" s="10"/>
      <c r="J69" s="4">
        <f t="shared" ref="J69:J77" si="6">SUM(D69:I69)</f>
        <v>292.5</v>
      </c>
    </row>
    <row r="70" spans="2:10" x14ac:dyDescent="0.35">
      <c r="B70" s="29"/>
      <c r="C70" s="8" t="s">
        <v>21</v>
      </c>
      <c r="D70" s="6">
        <v>4044.1499999999983</v>
      </c>
      <c r="E70" s="6">
        <v>0</v>
      </c>
      <c r="F70" s="10"/>
      <c r="G70" s="10"/>
      <c r="H70" s="10"/>
      <c r="I70" s="10"/>
      <c r="J70" s="4">
        <f t="shared" si="6"/>
        <v>4044.1499999999983</v>
      </c>
    </row>
    <row r="71" spans="2:10" x14ac:dyDescent="0.35">
      <c r="B71" s="29"/>
      <c r="C71" s="8" t="s">
        <v>11</v>
      </c>
      <c r="D71" s="6"/>
      <c r="E71" s="6">
        <v>16102</v>
      </c>
      <c r="F71" s="10"/>
      <c r="G71" s="10"/>
      <c r="H71" s="10"/>
      <c r="I71" s="10"/>
      <c r="J71" s="4">
        <f t="shared" si="6"/>
        <v>16102</v>
      </c>
    </row>
    <row r="72" spans="2:10" x14ac:dyDescent="0.35">
      <c r="B72" s="29"/>
      <c r="C72" s="8" t="s">
        <v>12</v>
      </c>
      <c r="D72" s="6">
        <v>2362.5</v>
      </c>
      <c r="E72" s="6">
        <v>0</v>
      </c>
      <c r="F72" s="10"/>
      <c r="G72" s="10">
        <v>4263.75</v>
      </c>
      <c r="H72" s="10"/>
      <c r="I72" s="10">
        <v>5052.6000000000004</v>
      </c>
      <c r="J72" s="4">
        <f t="shared" si="6"/>
        <v>11678.85</v>
      </c>
    </row>
    <row r="73" spans="2:10" x14ac:dyDescent="0.35">
      <c r="B73" s="29"/>
      <c r="C73" s="8" t="s">
        <v>13</v>
      </c>
      <c r="D73" s="6"/>
      <c r="E73" s="6">
        <v>0</v>
      </c>
      <c r="F73" s="10"/>
      <c r="G73" s="10">
        <v>975</v>
      </c>
      <c r="H73" s="10"/>
      <c r="I73" s="10"/>
      <c r="J73" s="4">
        <f t="shared" si="6"/>
        <v>975</v>
      </c>
    </row>
    <row r="74" spans="2:10" x14ac:dyDescent="0.35">
      <c r="B74" s="29"/>
      <c r="C74" t="s">
        <v>15</v>
      </c>
      <c r="D74" s="6"/>
      <c r="E74" s="6">
        <v>0</v>
      </c>
      <c r="F74" s="10">
        <v>2992</v>
      </c>
      <c r="G74" s="10"/>
      <c r="H74" s="10"/>
      <c r="I74" s="10"/>
      <c r="J74" s="4">
        <f t="shared" si="6"/>
        <v>2992</v>
      </c>
    </row>
    <row r="75" spans="2:10" x14ac:dyDescent="0.35">
      <c r="B75" s="29"/>
      <c r="C75" s="8" t="s">
        <v>16</v>
      </c>
      <c r="D75" s="6"/>
      <c r="E75" s="6">
        <v>0</v>
      </c>
      <c r="F75" s="10">
        <v>1980</v>
      </c>
      <c r="G75" s="10"/>
      <c r="H75" s="10"/>
      <c r="I75" s="10"/>
      <c r="J75" s="4">
        <f t="shared" si="6"/>
        <v>1980</v>
      </c>
    </row>
    <row r="76" spans="2:10" x14ac:dyDescent="0.35">
      <c r="B76" s="29"/>
      <c r="C76" s="8" t="s">
        <v>22</v>
      </c>
      <c r="D76" s="6"/>
      <c r="E76" s="6">
        <v>0</v>
      </c>
      <c r="F76" s="10"/>
      <c r="G76" s="10"/>
      <c r="H76" s="10"/>
      <c r="I76" s="10"/>
      <c r="J76" s="4">
        <f t="shared" si="6"/>
        <v>0</v>
      </c>
    </row>
    <row r="77" spans="2:10" x14ac:dyDescent="0.35">
      <c r="B77" s="29"/>
      <c r="C77" s="8" t="s">
        <v>17</v>
      </c>
      <c r="D77" s="6">
        <v>937.5</v>
      </c>
      <c r="E77" s="6">
        <v>0</v>
      </c>
      <c r="F77" s="10"/>
      <c r="G77" s="10"/>
      <c r="H77" s="10"/>
      <c r="I77" s="10"/>
      <c r="J77" s="4">
        <f t="shared" si="6"/>
        <v>937.5</v>
      </c>
    </row>
    <row r="78" spans="2:10" x14ac:dyDescent="0.35">
      <c r="B78" s="30"/>
      <c r="C78" s="8" t="s">
        <v>18</v>
      </c>
      <c r="D78" s="6">
        <f>SUM(D68:D77)</f>
        <v>7344.1499999999978</v>
      </c>
      <c r="E78" s="6">
        <f t="shared" ref="E78:J78" si="7">SUM(E68:E77)</f>
        <v>16394.5</v>
      </c>
      <c r="F78" s="6">
        <f t="shared" si="7"/>
        <v>4972</v>
      </c>
      <c r="G78" s="6">
        <f t="shared" si="7"/>
        <v>5238.75</v>
      </c>
      <c r="H78" s="6">
        <f t="shared" si="7"/>
        <v>0</v>
      </c>
      <c r="I78" s="6">
        <f t="shared" si="7"/>
        <v>5052.6000000000004</v>
      </c>
      <c r="J78" s="6">
        <f t="shared" si="7"/>
        <v>39002</v>
      </c>
    </row>
    <row r="79" spans="2:10" x14ac:dyDescent="0.35">
      <c r="C79" s="8"/>
      <c r="D79" s="13"/>
      <c r="F79" s="14"/>
      <c r="G79" s="14"/>
      <c r="I79" s="14"/>
      <c r="J79" s="4"/>
    </row>
    <row r="80" spans="2:10" x14ac:dyDescent="0.35">
      <c r="B80" s="1" t="s">
        <v>0</v>
      </c>
      <c r="C80" s="2" t="s">
        <v>1</v>
      </c>
      <c r="D80" s="2" t="s">
        <v>2</v>
      </c>
      <c r="E80" s="2" t="s">
        <v>3</v>
      </c>
      <c r="F80" s="9" t="s">
        <v>4</v>
      </c>
      <c r="G80" s="9" t="s">
        <v>5</v>
      </c>
      <c r="H80" s="9" t="s">
        <v>6</v>
      </c>
      <c r="I80" s="9" t="s">
        <v>7</v>
      </c>
      <c r="J80" s="2" t="s">
        <v>8</v>
      </c>
    </row>
    <row r="81" spans="2:10" x14ac:dyDescent="0.35">
      <c r="B81" s="28" t="s">
        <v>33</v>
      </c>
      <c r="C81" s="8" t="s">
        <v>21</v>
      </c>
      <c r="D81" s="6">
        <v>3860.3249999999985</v>
      </c>
      <c r="E81" s="6">
        <v>0</v>
      </c>
      <c r="F81" s="10"/>
      <c r="G81" s="10"/>
      <c r="H81" s="10"/>
      <c r="I81" s="10"/>
      <c r="J81" s="4">
        <f t="shared" ref="J81:J132" si="8">SUM(D81:I81)</f>
        <v>3860.3249999999985</v>
      </c>
    </row>
    <row r="82" spans="2:10" x14ac:dyDescent="0.35">
      <c r="B82" s="29"/>
      <c r="C82" s="8" t="s">
        <v>12</v>
      </c>
      <c r="D82" s="6">
        <v>9922.5</v>
      </c>
      <c r="E82" s="6">
        <v>0</v>
      </c>
      <c r="F82" s="10"/>
      <c r="G82" s="10">
        <v>17907.75</v>
      </c>
      <c r="H82" s="10"/>
      <c r="I82" s="10">
        <v>5052.6000000000004</v>
      </c>
      <c r="J82" s="4">
        <f t="shared" si="8"/>
        <v>32882.85</v>
      </c>
    </row>
    <row r="83" spans="2:10" x14ac:dyDescent="0.35">
      <c r="B83" s="29"/>
      <c r="C83" s="8" t="s">
        <v>13</v>
      </c>
      <c r="D83" s="6"/>
      <c r="E83" s="6">
        <v>0</v>
      </c>
      <c r="F83" s="10"/>
      <c r="G83" s="10">
        <v>4095</v>
      </c>
      <c r="H83" s="10"/>
      <c r="I83" s="10"/>
      <c r="J83" s="4">
        <f t="shared" si="8"/>
        <v>4095</v>
      </c>
    </row>
    <row r="84" spans="2:10" x14ac:dyDescent="0.35">
      <c r="B84" s="29"/>
      <c r="C84" t="s">
        <v>15</v>
      </c>
      <c r="D84" s="6"/>
      <c r="E84" s="6">
        <v>0</v>
      </c>
      <c r="F84" s="10">
        <v>11483</v>
      </c>
      <c r="G84" s="10"/>
      <c r="H84" s="10"/>
      <c r="I84" s="10"/>
      <c r="J84" s="4">
        <f t="shared" si="8"/>
        <v>11483</v>
      </c>
    </row>
    <row r="85" spans="2:10" x14ac:dyDescent="0.35">
      <c r="B85" s="29"/>
      <c r="C85" s="8" t="s">
        <v>27</v>
      </c>
      <c r="D85" s="6"/>
      <c r="E85" s="6">
        <v>0</v>
      </c>
      <c r="F85" s="10"/>
      <c r="G85" s="10"/>
      <c r="H85" s="10"/>
      <c r="I85" s="10"/>
      <c r="J85" s="4">
        <f t="shared" si="8"/>
        <v>0</v>
      </c>
    </row>
    <row r="86" spans="2:10" x14ac:dyDescent="0.35">
      <c r="B86" s="29"/>
      <c r="C86" s="8" t="s">
        <v>16</v>
      </c>
      <c r="D86" s="6"/>
      <c r="E86" s="6">
        <v>0</v>
      </c>
      <c r="F86" s="10">
        <v>6105</v>
      </c>
      <c r="G86" s="10"/>
      <c r="H86" s="10"/>
      <c r="I86" s="10"/>
      <c r="J86" s="4">
        <f t="shared" si="8"/>
        <v>6105</v>
      </c>
    </row>
    <row r="87" spans="2:10" x14ac:dyDescent="0.35">
      <c r="B87" s="29"/>
      <c r="C87" s="8" t="s">
        <v>22</v>
      </c>
      <c r="D87" s="6"/>
      <c r="E87" s="6">
        <v>0</v>
      </c>
      <c r="F87" s="10"/>
      <c r="G87" s="10"/>
      <c r="H87" s="10"/>
      <c r="I87" s="10"/>
      <c r="J87" s="4">
        <f t="shared" si="8"/>
        <v>0</v>
      </c>
    </row>
    <row r="88" spans="2:10" x14ac:dyDescent="0.35">
      <c r="B88" s="29"/>
      <c r="C88" s="8" t="s">
        <v>17</v>
      </c>
      <c r="D88" s="6">
        <v>3937.5</v>
      </c>
      <c r="E88" s="6">
        <v>0</v>
      </c>
      <c r="F88" s="10"/>
      <c r="G88" s="10"/>
      <c r="H88" s="10"/>
      <c r="I88" s="10"/>
      <c r="J88" s="4">
        <f t="shared" si="8"/>
        <v>3937.5</v>
      </c>
    </row>
    <row r="89" spans="2:10" x14ac:dyDescent="0.35">
      <c r="B89" s="29"/>
      <c r="C89" s="8" t="s">
        <v>18</v>
      </c>
      <c r="D89" s="6">
        <f>SUM(D81:D88)</f>
        <v>17720.324999999997</v>
      </c>
      <c r="E89" s="6">
        <f t="shared" ref="E89:J89" si="9">SUM(E81:E88)</f>
        <v>0</v>
      </c>
      <c r="F89" s="6">
        <f t="shared" si="9"/>
        <v>17588</v>
      </c>
      <c r="G89" s="6">
        <f t="shared" si="9"/>
        <v>22002.75</v>
      </c>
      <c r="H89" s="6">
        <f t="shared" si="9"/>
        <v>0</v>
      </c>
      <c r="I89" s="6">
        <f t="shared" si="9"/>
        <v>5052.6000000000004</v>
      </c>
      <c r="J89" s="6">
        <f t="shared" si="9"/>
        <v>62363.674999999996</v>
      </c>
    </row>
    <row r="90" spans="2:10" x14ac:dyDescent="0.35">
      <c r="C90" s="8"/>
      <c r="D90" s="13"/>
      <c r="F90" s="14"/>
      <c r="G90" s="14"/>
      <c r="I90" s="14"/>
      <c r="J90" s="4"/>
    </row>
    <row r="91" spans="2:10" x14ac:dyDescent="0.35">
      <c r="B91" s="1" t="s">
        <v>0</v>
      </c>
      <c r="C91" s="2" t="s">
        <v>1</v>
      </c>
      <c r="D91" s="2" t="s">
        <v>2</v>
      </c>
      <c r="E91" s="2" t="s">
        <v>3</v>
      </c>
      <c r="F91" s="9" t="s">
        <v>4</v>
      </c>
      <c r="G91" s="9" t="s">
        <v>5</v>
      </c>
      <c r="H91" s="9" t="s">
        <v>6</v>
      </c>
      <c r="I91" s="9" t="s">
        <v>7</v>
      </c>
      <c r="J91" s="2" t="s">
        <v>8</v>
      </c>
    </row>
    <row r="92" spans="2:10" x14ac:dyDescent="0.35">
      <c r="B92" s="36" t="s">
        <v>34</v>
      </c>
      <c r="C92" s="8" t="s">
        <v>32</v>
      </c>
      <c r="E92">
        <v>0</v>
      </c>
      <c r="J92" s="4">
        <f t="shared" si="8"/>
        <v>0</v>
      </c>
    </row>
    <row r="93" spans="2:10" x14ac:dyDescent="0.35">
      <c r="B93" s="34"/>
      <c r="C93" s="8" t="s">
        <v>29</v>
      </c>
      <c r="E93">
        <v>0</v>
      </c>
      <c r="J93" s="4">
        <f t="shared" si="8"/>
        <v>0</v>
      </c>
    </row>
    <row r="94" spans="2:10" x14ac:dyDescent="0.35">
      <c r="B94" s="35"/>
      <c r="C94" s="15" t="s">
        <v>18</v>
      </c>
      <c r="D94" s="2">
        <f>SUM(D92:D93)</f>
        <v>0</v>
      </c>
      <c r="E94" s="2">
        <f t="shared" ref="E94:J94" si="10">SUM(E92:E93)</f>
        <v>0</v>
      </c>
      <c r="F94" s="2">
        <f t="shared" si="10"/>
        <v>0</v>
      </c>
      <c r="G94" s="2">
        <f t="shared" si="10"/>
        <v>0</v>
      </c>
      <c r="H94" s="2">
        <f t="shared" si="10"/>
        <v>0</v>
      </c>
      <c r="I94" s="2">
        <f t="shared" si="10"/>
        <v>0</v>
      </c>
      <c r="J94" s="2">
        <f t="shared" si="10"/>
        <v>0</v>
      </c>
    </row>
    <row r="95" spans="2:10" x14ac:dyDescent="0.35">
      <c r="C95" s="8"/>
      <c r="J95" s="4"/>
    </row>
    <row r="96" spans="2:10" x14ac:dyDescent="0.35">
      <c r="B96" s="1" t="s">
        <v>0</v>
      </c>
      <c r="C96" s="2" t="s">
        <v>1</v>
      </c>
      <c r="D96" s="2" t="s">
        <v>2</v>
      </c>
      <c r="E96" s="2" t="s">
        <v>3</v>
      </c>
      <c r="F96" s="9" t="s">
        <v>4</v>
      </c>
      <c r="G96" s="9" t="s">
        <v>5</v>
      </c>
      <c r="H96" s="9" t="s">
        <v>6</v>
      </c>
      <c r="I96" s="9" t="s">
        <v>7</v>
      </c>
      <c r="J96" s="2" t="s">
        <v>8</v>
      </c>
    </row>
    <row r="97" spans="2:10" x14ac:dyDescent="0.35">
      <c r="B97" s="37" t="s">
        <v>35</v>
      </c>
      <c r="C97" s="8" t="s">
        <v>29</v>
      </c>
      <c r="D97" s="6"/>
      <c r="E97" s="6">
        <v>0</v>
      </c>
      <c r="F97" s="10"/>
      <c r="G97" s="10"/>
      <c r="H97" s="10"/>
      <c r="I97" s="10"/>
      <c r="J97" s="4">
        <f t="shared" si="8"/>
        <v>0</v>
      </c>
    </row>
    <row r="98" spans="2:10" x14ac:dyDescent="0.35">
      <c r="B98" s="38"/>
      <c r="C98" s="8" t="s">
        <v>12</v>
      </c>
      <c r="D98" s="6">
        <v>7762.5</v>
      </c>
      <c r="E98" s="6">
        <v>0</v>
      </c>
      <c r="F98" s="10"/>
      <c r="G98" s="10">
        <v>32265</v>
      </c>
      <c r="H98" s="10"/>
      <c r="I98" s="10">
        <v>4812</v>
      </c>
      <c r="J98" s="4">
        <f t="shared" si="8"/>
        <v>44839.5</v>
      </c>
    </row>
    <row r="99" spans="2:10" x14ac:dyDescent="0.35">
      <c r="B99" s="38"/>
      <c r="C99" s="8" t="s">
        <v>13</v>
      </c>
      <c r="D99" s="6"/>
      <c r="E99" s="6">
        <v>0</v>
      </c>
      <c r="F99" s="10"/>
      <c r="G99" s="10">
        <v>3900</v>
      </c>
      <c r="H99" s="10"/>
      <c r="I99" s="10"/>
      <c r="J99" s="4">
        <f t="shared" si="8"/>
        <v>3900</v>
      </c>
    </row>
    <row r="100" spans="2:10" x14ac:dyDescent="0.35">
      <c r="B100" s="38"/>
      <c r="C100" t="s">
        <v>15</v>
      </c>
      <c r="D100" s="6"/>
      <c r="E100" s="6">
        <v>0</v>
      </c>
      <c r="F100" s="10">
        <v>12221</v>
      </c>
      <c r="G100" s="10"/>
      <c r="H100" s="10"/>
      <c r="I100" s="10"/>
      <c r="J100" s="4">
        <f t="shared" si="8"/>
        <v>12221</v>
      </c>
    </row>
    <row r="101" spans="2:10" x14ac:dyDescent="0.35">
      <c r="B101" s="38"/>
      <c r="C101" s="8" t="s">
        <v>22</v>
      </c>
      <c r="D101" s="6"/>
      <c r="E101" s="6">
        <v>0</v>
      </c>
      <c r="F101" s="10"/>
      <c r="G101" s="10"/>
      <c r="H101" s="10"/>
      <c r="I101" s="10"/>
      <c r="J101" s="4">
        <f t="shared" si="8"/>
        <v>0</v>
      </c>
    </row>
    <row r="102" spans="2:10" x14ac:dyDescent="0.35">
      <c r="B102" s="38"/>
      <c r="C102" s="8" t="s">
        <v>17</v>
      </c>
      <c r="D102" s="6">
        <v>1687.5</v>
      </c>
      <c r="E102" s="6">
        <v>0</v>
      </c>
      <c r="F102" s="10"/>
      <c r="G102" s="10"/>
      <c r="H102" s="10"/>
      <c r="I102" s="10"/>
      <c r="J102" s="4">
        <f t="shared" si="8"/>
        <v>1687.5</v>
      </c>
    </row>
    <row r="103" spans="2:10" x14ac:dyDescent="0.35">
      <c r="B103" s="38"/>
      <c r="C103" s="15" t="s">
        <v>18</v>
      </c>
      <c r="D103" s="4">
        <f>SUM(D97:D102)</f>
        <v>9450</v>
      </c>
      <c r="E103" s="4">
        <f t="shared" ref="E103:J103" si="11">SUM(E97:E102)</f>
        <v>0</v>
      </c>
      <c r="F103" s="4">
        <f t="shared" si="11"/>
        <v>12221</v>
      </c>
      <c r="G103" s="4">
        <f t="shared" si="11"/>
        <v>36165</v>
      </c>
      <c r="H103" s="4">
        <f t="shared" si="11"/>
        <v>0</v>
      </c>
      <c r="I103" s="4">
        <f t="shared" si="11"/>
        <v>4812</v>
      </c>
      <c r="J103" s="4">
        <f t="shared" si="11"/>
        <v>62648</v>
      </c>
    </row>
    <row r="104" spans="2:10" x14ac:dyDescent="0.35">
      <c r="C104" s="8"/>
      <c r="D104" s="13"/>
      <c r="F104" s="14"/>
      <c r="G104" s="14"/>
      <c r="I104" s="14"/>
      <c r="J104" s="4"/>
    </row>
    <row r="105" spans="2:10" x14ac:dyDescent="0.35">
      <c r="B105" s="1" t="s">
        <v>0</v>
      </c>
      <c r="C105" s="2" t="s">
        <v>1</v>
      </c>
      <c r="D105" s="2" t="s">
        <v>2</v>
      </c>
      <c r="E105" s="2" t="s">
        <v>3</v>
      </c>
      <c r="F105" s="9" t="s">
        <v>4</v>
      </c>
      <c r="G105" s="9" t="s">
        <v>5</v>
      </c>
      <c r="H105" s="9" t="s">
        <v>6</v>
      </c>
      <c r="I105" s="9" t="s">
        <v>7</v>
      </c>
      <c r="J105" s="2" t="s">
        <v>8</v>
      </c>
    </row>
    <row r="106" spans="2:10" x14ac:dyDescent="0.35">
      <c r="B106" s="31" t="s">
        <v>36</v>
      </c>
      <c r="C106" s="8" t="s">
        <v>10</v>
      </c>
      <c r="D106" s="6"/>
      <c r="E106" s="6">
        <v>0</v>
      </c>
      <c r="F106" s="10"/>
      <c r="G106" s="10"/>
      <c r="H106" s="10"/>
      <c r="I106" s="10"/>
      <c r="J106" s="4">
        <f t="shared" si="8"/>
        <v>0</v>
      </c>
    </row>
    <row r="107" spans="2:10" x14ac:dyDescent="0.35">
      <c r="B107" s="32"/>
      <c r="C107" s="8" t="s">
        <v>12</v>
      </c>
      <c r="D107" s="6">
        <v>3352.5</v>
      </c>
      <c r="E107" s="6">
        <v>0</v>
      </c>
      <c r="F107" s="10"/>
      <c r="G107" s="10">
        <v>11012.25</v>
      </c>
      <c r="H107" s="10"/>
      <c r="I107" s="10">
        <v>7055.1000000000031</v>
      </c>
      <c r="J107" s="4">
        <f t="shared" si="8"/>
        <v>21419.850000000002</v>
      </c>
    </row>
    <row r="108" spans="2:10" x14ac:dyDescent="0.35">
      <c r="B108" s="32"/>
      <c r="C108" s="8" t="s">
        <v>13</v>
      </c>
      <c r="D108" s="6"/>
      <c r="E108" s="6">
        <v>0</v>
      </c>
      <c r="F108" s="10"/>
      <c r="G108" s="10">
        <v>1755</v>
      </c>
      <c r="H108" s="10"/>
      <c r="I108" s="10"/>
      <c r="J108" s="4">
        <f t="shared" si="8"/>
        <v>1755</v>
      </c>
    </row>
    <row r="109" spans="2:10" x14ac:dyDescent="0.35">
      <c r="B109" s="32"/>
      <c r="C109" s="8" t="s">
        <v>27</v>
      </c>
      <c r="D109" s="6"/>
      <c r="E109" s="6">
        <v>0</v>
      </c>
      <c r="F109" s="10">
        <v>14810</v>
      </c>
      <c r="G109" s="10"/>
      <c r="H109" s="10"/>
      <c r="I109" s="10"/>
      <c r="J109" s="4">
        <f t="shared" si="8"/>
        <v>14810</v>
      </c>
    </row>
    <row r="110" spans="2:10" x14ac:dyDescent="0.35">
      <c r="B110" s="32"/>
      <c r="C110" s="8" t="s">
        <v>22</v>
      </c>
      <c r="D110" s="6"/>
      <c r="E110" s="6">
        <v>0</v>
      </c>
      <c r="F110" s="10"/>
      <c r="G110" s="10"/>
      <c r="H110" s="10"/>
      <c r="I110" s="10"/>
      <c r="J110" s="4">
        <f t="shared" si="8"/>
        <v>0</v>
      </c>
    </row>
    <row r="111" spans="2:10" x14ac:dyDescent="0.35">
      <c r="B111" s="32"/>
      <c r="C111" s="8" t="s">
        <v>17</v>
      </c>
      <c r="D111" s="6">
        <v>1687.5</v>
      </c>
      <c r="E111" s="6">
        <v>0</v>
      </c>
      <c r="F111" s="10"/>
      <c r="G111" s="10"/>
      <c r="H111" s="10"/>
      <c r="I111" s="10"/>
      <c r="J111" s="4">
        <f t="shared" si="8"/>
        <v>1687.5</v>
      </c>
    </row>
    <row r="112" spans="2:10" x14ac:dyDescent="0.35">
      <c r="B112" s="32"/>
      <c r="C112" s="15" t="s">
        <v>18</v>
      </c>
      <c r="D112" s="4">
        <f>SUM(D106:D111)</f>
        <v>5040</v>
      </c>
      <c r="E112" s="4">
        <f t="shared" ref="E112:J112" si="12">SUM(E106:E111)</f>
        <v>0</v>
      </c>
      <c r="F112" s="4">
        <f t="shared" si="12"/>
        <v>14810</v>
      </c>
      <c r="G112" s="4">
        <f t="shared" si="12"/>
        <v>12767.25</v>
      </c>
      <c r="H112" s="4">
        <f t="shared" si="12"/>
        <v>0</v>
      </c>
      <c r="I112" s="4">
        <f t="shared" si="12"/>
        <v>7055.1000000000031</v>
      </c>
      <c r="J112" s="4">
        <f t="shared" si="12"/>
        <v>39672.350000000006</v>
      </c>
    </row>
    <row r="113" spans="2:10" x14ac:dyDescent="0.35">
      <c r="C113" s="8"/>
      <c r="D113" s="13"/>
      <c r="F113" s="14"/>
      <c r="G113" s="14"/>
      <c r="I113" s="14"/>
      <c r="J113" s="4"/>
    </row>
    <row r="114" spans="2:10" x14ac:dyDescent="0.35">
      <c r="B114" s="1" t="s">
        <v>0</v>
      </c>
      <c r="C114" s="2" t="s">
        <v>1</v>
      </c>
      <c r="D114" s="2" t="s">
        <v>2</v>
      </c>
      <c r="E114" s="2" t="s">
        <v>3</v>
      </c>
      <c r="F114" s="9" t="s">
        <v>4</v>
      </c>
      <c r="G114" s="9" t="s">
        <v>5</v>
      </c>
      <c r="H114" s="9" t="s">
        <v>6</v>
      </c>
      <c r="I114" s="9" t="s">
        <v>7</v>
      </c>
      <c r="J114" s="2" t="s">
        <v>8</v>
      </c>
    </row>
    <row r="115" spans="2:10" x14ac:dyDescent="0.35">
      <c r="B115" s="31" t="s">
        <v>37</v>
      </c>
      <c r="C115" s="8" t="s">
        <v>10</v>
      </c>
      <c r="D115" s="6"/>
      <c r="E115" s="6">
        <v>0</v>
      </c>
      <c r="F115" s="10"/>
      <c r="G115" s="10"/>
      <c r="H115" s="10"/>
      <c r="I115" s="10"/>
      <c r="J115" s="4">
        <f t="shared" si="8"/>
        <v>0</v>
      </c>
    </row>
    <row r="116" spans="2:10" x14ac:dyDescent="0.35">
      <c r="B116" s="32"/>
      <c r="C116" s="8" t="s">
        <v>12</v>
      </c>
      <c r="D116" s="6"/>
      <c r="E116" s="6">
        <v>0</v>
      </c>
      <c r="F116" s="10"/>
      <c r="G116" s="10"/>
      <c r="H116" s="10"/>
      <c r="I116" s="10">
        <v>6814.5000000000027</v>
      </c>
      <c r="J116" s="4">
        <f t="shared" si="8"/>
        <v>6814.5000000000027</v>
      </c>
    </row>
    <row r="117" spans="2:10" x14ac:dyDescent="0.35">
      <c r="B117" s="32"/>
      <c r="C117" s="8" t="s">
        <v>14</v>
      </c>
      <c r="D117" s="6"/>
      <c r="E117" s="6">
        <v>0</v>
      </c>
      <c r="F117" s="10"/>
      <c r="G117" s="10"/>
      <c r="H117" s="10"/>
      <c r="I117" s="10"/>
      <c r="J117" s="4">
        <f t="shared" si="8"/>
        <v>0</v>
      </c>
    </row>
    <row r="118" spans="2:10" x14ac:dyDescent="0.35">
      <c r="B118" s="32"/>
      <c r="C118" t="s">
        <v>15</v>
      </c>
      <c r="D118" s="6"/>
      <c r="E118" s="6">
        <v>0</v>
      </c>
      <c r="F118" s="10">
        <v>14180</v>
      </c>
      <c r="G118" s="10"/>
      <c r="H118" s="10"/>
      <c r="I118" s="10"/>
      <c r="J118" s="4">
        <f t="shared" si="8"/>
        <v>14180</v>
      </c>
    </row>
    <row r="119" spans="2:10" x14ac:dyDescent="0.35">
      <c r="B119" s="32"/>
      <c r="C119" s="8" t="s">
        <v>22</v>
      </c>
      <c r="D119" s="6"/>
      <c r="E119" s="6">
        <v>0</v>
      </c>
      <c r="F119" s="10"/>
      <c r="G119" s="10"/>
      <c r="H119" s="10"/>
      <c r="I119" s="10"/>
      <c r="J119" s="4">
        <f t="shared" si="8"/>
        <v>0</v>
      </c>
    </row>
    <row r="120" spans="2:10" x14ac:dyDescent="0.35">
      <c r="B120" s="32"/>
      <c r="C120" s="8" t="s">
        <v>18</v>
      </c>
      <c r="D120" s="4">
        <f>SUM(D115:D119)</f>
        <v>0</v>
      </c>
      <c r="E120" s="4">
        <f t="shared" ref="E120:J120" si="13">SUM(E115:E119)</f>
        <v>0</v>
      </c>
      <c r="F120" s="4">
        <f t="shared" si="13"/>
        <v>14180</v>
      </c>
      <c r="G120" s="4">
        <f t="shared" si="13"/>
        <v>0</v>
      </c>
      <c r="H120" s="4">
        <f t="shared" si="13"/>
        <v>0</v>
      </c>
      <c r="I120" s="4">
        <f t="shared" si="13"/>
        <v>6814.5000000000027</v>
      </c>
      <c r="J120" s="4">
        <f t="shared" si="13"/>
        <v>20994.500000000004</v>
      </c>
    </row>
    <row r="121" spans="2:10" x14ac:dyDescent="0.35">
      <c r="C121" s="8"/>
      <c r="F121" s="14"/>
      <c r="I121" s="14"/>
      <c r="J121" s="4"/>
    </row>
    <row r="122" spans="2:10" x14ac:dyDescent="0.35">
      <c r="B122" s="1" t="s">
        <v>0</v>
      </c>
      <c r="C122" s="2" t="s">
        <v>1</v>
      </c>
      <c r="D122" s="2" t="s">
        <v>2</v>
      </c>
      <c r="E122" s="2" t="s">
        <v>3</v>
      </c>
      <c r="F122" s="9" t="s">
        <v>4</v>
      </c>
      <c r="G122" s="9" t="s">
        <v>5</v>
      </c>
      <c r="H122" s="9" t="s">
        <v>6</v>
      </c>
      <c r="I122" s="9" t="s">
        <v>7</v>
      </c>
      <c r="J122" s="2" t="s">
        <v>8</v>
      </c>
    </row>
    <row r="123" spans="2:10" x14ac:dyDescent="0.35">
      <c r="B123" s="31" t="s">
        <v>38</v>
      </c>
      <c r="C123" s="8" t="s">
        <v>10</v>
      </c>
      <c r="D123" s="6">
        <f t="shared" ref="D123:J127" si="14">SUBTOTAL(109,D119:D122)</f>
        <v>0</v>
      </c>
      <c r="E123" s="6">
        <v>0</v>
      </c>
      <c r="F123" s="10"/>
      <c r="G123" s="10"/>
      <c r="H123" s="10"/>
      <c r="I123" s="10"/>
      <c r="J123" s="4">
        <f t="shared" si="8"/>
        <v>0</v>
      </c>
    </row>
    <row r="124" spans="2:10" x14ac:dyDescent="0.35">
      <c r="B124" s="32"/>
      <c r="C124" s="8" t="s">
        <v>12</v>
      </c>
      <c r="D124" s="6">
        <f t="shared" si="14"/>
        <v>0</v>
      </c>
      <c r="E124" s="6">
        <v>0</v>
      </c>
      <c r="F124" s="10"/>
      <c r="G124" s="10"/>
      <c r="H124" s="10"/>
      <c r="I124" s="10">
        <v>7202.5500000000038</v>
      </c>
      <c r="J124" s="4">
        <f t="shared" si="8"/>
        <v>7202.5500000000038</v>
      </c>
    </row>
    <row r="125" spans="2:10" x14ac:dyDescent="0.35">
      <c r="B125" s="32"/>
      <c r="C125" t="s">
        <v>15</v>
      </c>
      <c r="D125" s="6">
        <f t="shared" si="14"/>
        <v>0</v>
      </c>
      <c r="E125" s="6">
        <v>0</v>
      </c>
      <c r="F125" s="10">
        <v>13377</v>
      </c>
      <c r="G125" s="10"/>
      <c r="H125" s="10"/>
      <c r="I125" s="10"/>
      <c r="J125" s="4">
        <f t="shared" si="8"/>
        <v>13377</v>
      </c>
    </row>
    <row r="126" spans="2:10" x14ac:dyDescent="0.35">
      <c r="B126" s="32"/>
      <c r="C126" s="8" t="s">
        <v>22</v>
      </c>
      <c r="D126" s="6">
        <f t="shared" si="14"/>
        <v>0</v>
      </c>
      <c r="E126" s="6">
        <v>0</v>
      </c>
      <c r="F126" s="10"/>
      <c r="G126" s="10"/>
      <c r="H126" s="10"/>
      <c r="I126" s="10"/>
      <c r="J126" s="4">
        <f t="shared" si="8"/>
        <v>0</v>
      </c>
    </row>
    <row r="127" spans="2:10" x14ac:dyDescent="0.35">
      <c r="B127" s="32"/>
      <c r="C127" s="8" t="s">
        <v>18</v>
      </c>
      <c r="D127" s="4">
        <f t="shared" si="14"/>
        <v>0</v>
      </c>
      <c r="E127" s="4">
        <f t="shared" si="14"/>
        <v>0</v>
      </c>
      <c r="F127" s="4">
        <f t="shared" si="14"/>
        <v>13377</v>
      </c>
      <c r="G127" s="4">
        <f t="shared" si="14"/>
        <v>0</v>
      </c>
      <c r="H127" s="4">
        <f t="shared" si="14"/>
        <v>0</v>
      </c>
      <c r="I127" s="4">
        <f t="shared" si="14"/>
        <v>7202.5500000000038</v>
      </c>
      <c r="J127" s="4">
        <f t="shared" si="14"/>
        <v>20579.550000000003</v>
      </c>
    </row>
    <row r="128" spans="2:10" x14ac:dyDescent="0.35">
      <c r="C128" s="8"/>
      <c r="F128" s="14"/>
      <c r="I128" s="14"/>
      <c r="J128" s="4"/>
    </row>
    <row r="129" spans="2:10" x14ac:dyDescent="0.35">
      <c r="B129" s="1" t="s">
        <v>0</v>
      </c>
      <c r="C129" s="2" t="s">
        <v>1</v>
      </c>
      <c r="D129" s="2" t="s">
        <v>2</v>
      </c>
      <c r="E129" s="2" t="s">
        <v>3</v>
      </c>
      <c r="F129" s="9" t="s">
        <v>4</v>
      </c>
      <c r="G129" s="9" t="s">
        <v>5</v>
      </c>
      <c r="H129" s="9" t="s">
        <v>6</v>
      </c>
      <c r="I129" s="9" t="s">
        <v>7</v>
      </c>
      <c r="J129" s="2" t="s">
        <v>8</v>
      </c>
    </row>
    <row r="130" spans="2:10" x14ac:dyDescent="0.35">
      <c r="B130" s="33">
        <v>45017</v>
      </c>
      <c r="C130" s="8" t="s">
        <v>10</v>
      </c>
      <c r="D130" s="6">
        <f t="shared" ref="D130:J133" si="15">SUBTOTAL(109,D127:D129)</f>
        <v>0</v>
      </c>
      <c r="E130" s="6">
        <v>0</v>
      </c>
      <c r="F130" s="10"/>
      <c r="G130" s="10"/>
      <c r="H130" s="10"/>
      <c r="I130" s="10"/>
      <c r="J130" s="4">
        <f t="shared" si="8"/>
        <v>0</v>
      </c>
    </row>
    <row r="131" spans="2:10" x14ac:dyDescent="0.35">
      <c r="B131" s="34"/>
      <c r="C131" s="8" t="s">
        <v>12</v>
      </c>
      <c r="D131" s="6">
        <f t="shared" si="15"/>
        <v>0</v>
      </c>
      <c r="E131" s="6">
        <v>0</v>
      </c>
      <c r="F131" s="10"/>
      <c r="G131" s="10"/>
      <c r="H131" s="10"/>
      <c r="I131" s="10">
        <v>1924.7999999999997</v>
      </c>
      <c r="J131" s="4">
        <f t="shared" si="8"/>
        <v>1924.7999999999997</v>
      </c>
    </row>
    <row r="132" spans="2:10" x14ac:dyDescent="0.35">
      <c r="B132" s="34"/>
      <c r="C132" t="s">
        <v>15</v>
      </c>
      <c r="D132" s="6">
        <f t="shared" si="15"/>
        <v>0</v>
      </c>
      <c r="E132" s="6">
        <v>0</v>
      </c>
      <c r="F132" s="10">
        <v>7578</v>
      </c>
      <c r="G132" s="10"/>
      <c r="H132" s="10"/>
      <c r="I132" s="10"/>
      <c r="J132" s="4">
        <f t="shared" si="8"/>
        <v>7578</v>
      </c>
    </row>
    <row r="133" spans="2:10" x14ac:dyDescent="0.35">
      <c r="B133" s="35"/>
      <c r="C133" s="8" t="s">
        <v>18</v>
      </c>
      <c r="D133" s="4">
        <f t="shared" si="15"/>
        <v>0</v>
      </c>
      <c r="E133" s="4">
        <f t="shared" si="15"/>
        <v>0</v>
      </c>
      <c r="F133" s="4">
        <f t="shared" si="15"/>
        <v>7578</v>
      </c>
      <c r="G133" s="4">
        <f t="shared" si="15"/>
        <v>0</v>
      </c>
      <c r="H133" s="4">
        <f t="shared" si="15"/>
        <v>0</v>
      </c>
      <c r="I133" s="4">
        <f t="shared" si="15"/>
        <v>1924.7999999999997</v>
      </c>
      <c r="J133" s="4">
        <f t="shared" si="15"/>
        <v>9502.7999999999993</v>
      </c>
    </row>
    <row r="138" spans="2:10" x14ac:dyDescent="0.35">
      <c r="I138" s="24" t="s">
        <v>9</v>
      </c>
      <c r="J138" s="10">
        <f>J12</f>
        <v>34585.199999999997</v>
      </c>
    </row>
    <row r="139" spans="2:10" x14ac:dyDescent="0.35">
      <c r="I139" s="24" t="s">
        <v>19</v>
      </c>
      <c r="J139" s="10">
        <f>J23</f>
        <v>41803.824999999997</v>
      </c>
    </row>
    <row r="140" spans="2:10" x14ac:dyDescent="0.35">
      <c r="I140" s="24" t="s">
        <v>23</v>
      </c>
      <c r="J140" s="10">
        <f>J39</f>
        <v>107245.04500000001</v>
      </c>
    </row>
    <row r="141" spans="2:10" x14ac:dyDescent="0.35">
      <c r="I141" s="24" t="s">
        <v>28</v>
      </c>
      <c r="J141" s="10">
        <f>J55</f>
        <v>118487.42500000002</v>
      </c>
    </row>
    <row r="142" spans="2:10" x14ac:dyDescent="0.35">
      <c r="I142" s="24" t="s">
        <v>30</v>
      </c>
      <c r="J142" s="10">
        <f>J65</f>
        <v>71809.675000000003</v>
      </c>
    </row>
    <row r="143" spans="2:10" x14ac:dyDescent="0.35">
      <c r="I143" s="24" t="s">
        <v>31</v>
      </c>
      <c r="J143" s="10">
        <f>J78</f>
        <v>39002</v>
      </c>
    </row>
    <row r="144" spans="2:10" x14ac:dyDescent="0.35">
      <c r="I144" s="24" t="s">
        <v>33</v>
      </c>
      <c r="J144" s="10">
        <f>J89</f>
        <v>62363.674999999996</v>
      </c>
    </row>
    <row r="145" spans="9:10" x14ac:dyDescent="0.35">
      <c r="I145" s="24" t="s">
        <v>34</v>
      </c>
      <c r="J145" s="10">
        <f>J94</f>
        <v>0</v>
      </c>
    </row>
    <row r="146" spans="9:10" x14ac:dyDescent="0.35">
      <c r="I146" s="24" t="s">
        <v>35</v>
      </c>
      <c r="J146" s="10">
        <f>J103</f>
        <v>62648</v>
      </c>
    </row>
    <row r="147" spans="9:10" x14ac:dyDescent="0.35">
      <c r="I147" s="24" t="s">
        <v>36</v>
      </c>
      <c r="J147" s="10">
        <f>J112</f>
        <v>39672.350000000006</v>
      </c>
    </row>
    <row r="148" spans="9:10" x14ac:dyDescent="0.35">
      <c r="I148" s="24" t="s">
        <v>37</v>
      </c>
      <c r="J148" s="10">
        <f>J120</f>
        <v>20994.500000000004</v>
      </c>
    </row>
    <row r="149" spans="9:10" x14ac:dyDescent="0.35">
      <c r="I149" s="24" t="s">
        <v>113</v>
      </c>
      <c r="J149" s="10">
        <f>J127</f>
        <v>20579.550000000003</v>
      </c>
    </row>
    <row r="150" spans="9:10" x14ac:dyDescent="0.35">
      <c r="I150" s="23">
        <v>45017</v>
      </c>
      <c r="J150" s="10">
        <f>J133</f>
        <v>9502.7999999999993</v>
      </c>
    </row>
    <row r="151" spans="9:10" x14ac:dyDescent="0.35">
      <c r="I151" s="10"/>
      <c r="J151" s="10"/>
    </row>
    <row r="152" spans="9:10" x14ac:dyDescent="0.35">
      <c r="I152" s="10" t="s">
        <v>18</v>
      </c>
      <c r="J152" s="10">
        <f>SUM(J138:J150)</f>
        <v>628694.04500000004</v>
      </c>
    </row>
    <row r="153" spans="9:10" x14ac:dyDescent="0.35">
      <c r="I153" s="10"/>
      <c r="J153" s="25">
        <f>SUM(J12,J23,J39,J55,J65,J78,J89,J94,J103,J112,J120,J127,J133)</f>
        <v>628694.04500000004</v>
      </c>
    </row>
  </sheetData>
  <mergeCells count="13">
    <mergeCell ref="B130:B133"/>
    <mergeCell ref="B81:B89"/>
    <mergeCell ref="B92:B94"/>
    <mergeCell ref="B97:B103"/>
    <mergeCell ref="B106:B112"/>
    <mergeCell ref="B115:B120"/>
    <mergeCell ref="B123:B127"/>
    <mergeCell ref="B68:B78"/>
    <mergeCell ref="B4:B12"/>
    <mergeCell ref="B15:B23"/>
    <mergeCell ref="B26:B39"/>
    <mergeCell ref="B42:B55"/>
    <mergeCell ref="B58:B65"/>
  </mergeCells>
  <pageMargins left="0.7" right="0.7" top="0.75" bottom="0.75" header="0.3" footer="0.3"/>
  <pageSetup paperSize="9" scale="53" orientation="landscape" r:id="rId1"/>
  <rowBreaks count="1" manualBreakCount="1">
    <brk id="90" max="9" man="1"/>
  </rowBreaks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DA4927 A</vt:lpstr>
      <vt:lpstr>DA4927 B&amp;C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Naomi</dc:creator>
  <cp:lastModifiedBy>PARMAR, Nimita (EAST LONDON NHS FOUNDATION TRUST)</cp:lastModifiedBy>
  <dcterms:created xsi:type="dcterms:W3CDTF">2023-09-25T13:55:43Z</dcterms:created>
  <dcterms:modified xsi:type="dcterms:W3CDTF">2023-09-29T09:38:42Z</dcterms:modified>
</cp:coreProperties>
</file>